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" yWindow="40" windowWidth="10020" windowHeight="11830" tabRatio="951" firstSheet="6" activeTab="8"/>
  </bookViews>
  <sheets>
    <sheet name="IS - 2016" sheetId="1" r:id="rId1"/>
    <sheet name="IS - 2017" sheetId="2" r:id="rId2"/>
    <sheet name="IS - 2018" sheetId="3" r:id="rId3"/>
    <sheet name="IS - 9-30-19" sheetId="4" r:id="rId4"/>
    <sheet name="BS - 12-31-15" sheetId="5" r:id="rId5"/>
    <sheet name="BS - 12-31-16" sheetId="6" r:id="rId6"/>
    <sheet name="BS - 12-31-17" sheetId="7" r:id="rId7"/>
    <sheet name="BS - 12-31-18" sheetId="8" r:id="rId8"/>
    <sheet name="BS - 9-30-19" sheetId="9" r:id="rId9"/>
    <sheet name="CF 2016" sheetId="10" r:id="rId10"/>
    <sheet name="CF 2017" sheetId="11" r:id="rId11"/>
    <sheet name="CF 2018" sheetId="12" r:id="rId12"/>
    <sheet name="CF 9-30-19" sheetId="13" r:id="rId13"/>
    <sheet name="MillCo Notes" sheetId="14" r:id="rId14"/>
    <sheet name="Forest Co Notes" sheetId="15" r:id="rId15"/>
    <sheet name="MLC Note" sheetId="16" r:id="rId16"/>
    <sheet name="MLC Revolver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/P">#REF!</definedName>
    <definedName name="BRITT_BS_CASH">'[1]BRITT'!$Y$13:$Y$13</definedName>
    <definedName name="BRITT_BS_INV">'[1]BRITT'!$Y$18:$Y$18</definedName>
    <definedName name="BRITT_BS_MAXPAY">'[1]BRITT'!$Y$45:$Y$45</definedName>
    <definedName name="BRITT_BS_NP_MGI">'[1]BRITT'!$Y$48:$Y$48</definedName>
    <definedName name="BRITT_BS_TRD_AF">'[1]BRITT'!$Y$46:$Y$46</definedName>
    <definedName name="BRITT_YTD_DEPR">'[1]BRITT'!$AC$129:$AC$129</definedName>
    <definedName name="BRITT_YTD_NET">'[1]BRITT'!$AC$165:$AC$165</definedName>
    <definedName name="BrittBS_C2_C5">#REF!</definedName>
    <definedName name="BrittBS_C3_C6">#REF!</definedName>
    <definedName name="BrittBS_R11_R73">#REF!</definedName>
    <definedName name="BrittBS_R1C2">#REF!</definedName>
    <definedName name="BrittBS_R2C2">#REF!</definedName>
    <definedName name="BrittBS_R3C1">#REF!</definedName>
    <definedName name="BrittBS_R3C2">#REF!</definedName>
    <definedName name="BrittBS_R4C1">#REF!</definedName>
    <definedName name="BrittBS_R4C2">#REF!</definedName>
    <definedName name="BrittIS_C2_C9">#REF!</definedName>
    <definedName name="BrittIS_R11_R54">#REF!</definedName>
    <definedName name="BrittIS_R1C1">#REF!</definedName>
    <definedName name="BrittIS_R3C1">#REF!</definedName>
    <definedName name="BrittIS_R4C1">#REF!</definedName>
    <definedName name="CONTENTS6">#REF!</definedName>
    <definedName name="COPIES1">#REF!</definedName>
    <definedName name="CURRENT" localSheetId="4">#REF!</definedName>
    <definedName name="CURRENT" localSheetId="6">#REF!</definedName>
    <definedName name="CURRENT" localSheetId="7">#REF!</definedName>
    <definedName name="CURRENT" localSheetId="8">#REF!</definedName>
    <definedName name="CURRENT" localSheetId="9">#REF!</definedName>
    <definedName name="CURRENT" localSheetId="10">#REF!</definedName>
    <definedName name="CURRENT" localSheetId="11">#REF!</definedName>
    <definedName name="CURRENT" localSheetId="12">#REF!</definedName>
    <definedName name="CURRENT" localSheetId="1">#REF!</definedName>
    <definedName name="CURRENT" localSheetId="2">#REF!</definedName>
    <definedName name="CURRENT" localSheetId="3">#REF!</definedName>
    <definedName name="CURRENT" localSheetId="15">#REF!</definedName>
    <definedName name="CURRENT">#REF!</definedName>
    <definedName name="Current2" localSheetId="7">#REF!</definedName>
    <definedName name="Current2" localSheetId="8">#REF!</definedName>
    <definedName name="Current2" localSheetId="10">#REF!</definedName>
    <definedName name="Current2" localSheetId="11">#REF!</definedName>
    <definedName name="Current2" localSheetId="12">#REF!</definedName>
    <definedName name="Current2" localSheetId="3">#REF!</definedName>
    <definedName name="Current2" localSheetId="15">#REF!</definedName>
    <definedName name="Current2">#REF!</definedName>
    <definedName name="DECODE">#REF!</definedName>
    <definedName name="DECODE1">#REF!</definedName>
    <definedName name="Messages_C2_C8">#REF!</definedName>
    <definedName name="Messages_R11_R52">#REF!</definedName>
    <definedName name="Messages_R1C1">#REF!</definedName>
    <definedName name="Messages_R2C1">#REF!</definedName>
    <definedName name="Messages_R3C1">#REF!</definedName>
    <definedName name="Messages_R4C1">#REF!</definedName>
    <definedName name="MGI_BS_C3_C6">#REF!</definedName>
    <definedName name="MGI_BS_R12_R72">#REF!</definedName>
    <definedName name="MGI_BS_R12_R74">#REF!</definedName>
    <definedName name="MGI_BS_R1C1">#REF!</definedName>
    <definedName name="MGI_BS_R2C1">#REF!</definedName>
    <definedName name="MGI_BS_R3C1">#REF!</definedName>
    <definedName name="MGI_IS_C2_C9">#REF!</definedName>
    <definedName name="MGI_IS_R11_R54">#REF!</definedName>
    <definedName name="MGI_IS_R2C1">#REF!</definedName>
    <definedName name="MGI_IS_R3C1">#REF!</definedName>
    <definedName name="MGI_IS_R4C1">#REF!</definedName>
    <definedName name="MONTH">#REF!</definedName>
    <definedName name="MONTH1">#REF!</definedName>
    <definedName name="MONTHS">#REF!</definedName>
    <definedName name="PAGE">#REF!</definedName>
    <definedName name="PL_BS_ACCR_INT">'[1]PALCO'!$Y$50:$Y$50</definedName>
    <definedName name="PL_BS_ACCR_LIAB">'[1]PALCO'!$Y$49:$Y$49</definedName>
    <definedName name="PL_BS_BORROW">'[1]PALCO'!$Y$52:$Y$52</definedName>
    <definedName name="PL_BS_C_LTD">'[1]PALCO'!$Y$53:$Y$53</definedName>
    <definedName name="PL_BS_C2">#REF!</definedName>
    <definedName name="PL_BS_C3_C6">#REF!</definedName>
    <definedName name="PL_BS_INV">'[1]PALCO'!$Y$18:$Y$18</definedName>
    <definedName name="PL_BS_INVEST">'[1]PALCO'!$Y$33:$Y$33</definedName>
    <definedName name="PL_BS_LTD">'[1]PALCO'!$Y$58:$Y$58</definedName>
    <definedName name="PL_BS_MAXPAY">'[1]PALCO'!$Y$45:$Y$45</definedName>
    <definedName name="PL_BS_MXCTAX">'[1]PALCO'!$Y$54:$Y$54</definedName>
    <definedName name="PL_BS_NP_MGI">'[1]PALCO'!$Y$47:$Y$47</definedName>
    <definedName name="PL_BS_R12_R74">#REF!</definedName>
    <definedName name="PL_BS_R12_R75">#REF!</definedName>
    <definedName name="PL_BS_R5C1">#REF!</definedName>
    <definedName name="PL_IS_C1">#REF!</definedName>
    <definedName name="PL_IS_C1_C8">#REF!</definedName>
    <definedName name="PL_IS_C2_C9">#REF!</definedName>
    <definedName name="PL_IS_R11_R54">#REF!</definedName>
    <definedName name="PL_IS_R3C1">#REF!</definedName>
    <definedName name="PL_IS_R5C1">#REF!</definedName>
    <definedName name="PL_YTD_AMORT">'[1]PALCO'!$AC$143:$AC$143</definedName>
    <definedName name="PL_YTD_DEPR">'[1]PALCO'!$AC$129:$AC$129</definedName>
    <definedName name="PL_YTD_GAIN">'[1]PALCO'!$AC$138:$AC$138</definedName>
    <definedName name="PL_YTD_NET">'[1]PALCO'!$AC$164:$AC$164</definedName>
    <definedName name="PLBS_COMPANY">#REF!</definedName>
    <definedName name="PLBS_CU">#REF!</definedName>
    <definedName name="PLBS_CU_VAR">#REF!</definedName>
    <definedName name="PLBS_DATE">#REF!</definedName>
    <definedName name="PLBS_DEC31">#REF!</definedName>
    <definedName name="PLBS_DESC">#REF!</definedName>
    <definedName name="PLBS_PL">#REF!</definedName>
    <definedName name="PLBS_PL_VAR">#REF!</definedName>
    <definedName name="PLBS_ROWS">#REF!</definedName>
    <definedName name="PLBS_STMT">#REF!</definedName>
    <definedName name="PLCON_YTD_DEPL">'[1]PALCO_BRT'!$AC$128:$AC$128</definedName>
    <definedName name="PLIS_ACNU">#REF!</definedName>
    <definedName name="PLIS_COMPANY">#REF!</definedName>
    <definedName name="PLIS_CU_MO">#REF!</definedName>
    <definedName name="PLIS_CU_YTD">#REF!</definedName>
    <definedName name="PLIS_DATE">#REF!</definedName>
    <definedName name="PLIS_DESC">#REF!</definedName>
    <definedName name="PLIS_PL_MO">#REF!</definedName>
    <definedName name="PLIS_PL_YTD">#REF!</definedName>
    <definedName name="PLIS_PR_MO">#REF!</definedName>
    <definedName name="PLIS_PR_YTD">#REF!</definedName>
    <definedName name="PLIS_ROWS">#REF!</definedName>
    <definedName name="PLIS_STMT">#REF!</definedName>
    <definedName name="PRINT">#REF!</definedName>
    <definedName name="_xlnm.Print_Area" localSheetId="4">'BS - 12-31-15'!$A$1:$P$48</definedName>
    <definedName name="_xlnm.Print_Area" localSheetId="5">'BS - 12-31-16'!$A$1:$P$48</definedName>
    <definedName name="_xlnm.Print_Area" localSheetId="6">'BS - 12-31-17'!$A$1:$P$48</definedName>
    <definedName name="_xlnm.Print_Area" localSheetId="7">'BS - 12-31-18'!$A$1:$P$48</definedName>
    <definedName name="_xlnm.Print_Area" localSheetId="8">'BS - 9-30-19'!$A$1:$P$48</definedName>
    <definedName name="_xlnm.Print_Area" localSheetId="9">'CF 2016'!$A$1:$P$42</definedName>
    <definedName name="_xlnm.Print_Area" localSheetId="10">'CF 2017'!$A$1:$P$42</definedName>
    <definedName name="_xlnm.Print_Area" localSheetId="11">'CF 2018'!$A$1:$P$42</definedName>
    <definedName name="_xlnm.Print_Area" localSheetId="12">'CF 9-30-19'!$A$1:$P$42</definedName>
    <definedName name="_xlnm.Print_Area" localSheetId="0">'IS - 2016'!$A$1:$N$36</definedName>
    <definedName name="_xlnm.Print_Area" localSheetId="1">'IS - 2017'!$A$1:$N$36</definedName>
    <definedName name="_xlnm.Print_Area" localSheetId="2">'IS - 2018'!$A$1:$N$36</definedName>
    <definedName name="_xlnm.Print_Area" localSheetId="3">'IS - 9-30-19'!$A$1:$N$36</definedName>
    <definedName name="REC_BS_C3_C6" localSheetId="4">#REF!</definedName>
    <definedName name="REC_BS_C3_C6" localSheetId="6">#REF!</definedName>
    <definedName name="REC_BS_C3_C6" localSheetId="7">#REF!</definedName>
    <definedName name="REC_BS_C3_C6" localSheetId="8">#REF!</definedName>
    <definedName name="REC_BS_C3_C6" localSheetId="9">#REF!</definedName>
    <definedName name="REC_BS_C3_C6" localSheetId="10">#REF!</definedName>
    <definedName name="REC_BS_C3_C6" localSheetId="11">#REF!</definedName>
    <definedName name="REC_BS_C3_C6" localSheetId="12">#REF!</definedName>
    <definedName name="REC_BS_C3_C6" localSheetId="1">#REF!</definedName>
    <definedName name="REC_BS_C3_C6" localSheetId="2">#REF!</definedName>
    <definedName name="REC_BS_C3_C6" localSheetId="3">#REF!</definedName>
    <definedName name="REC_BS_C3_C6" localSheetId="15">#REF!</definedName>
    <definedName name="REC_BS_C3_C6">#REF!</definedName>
    <definedName name="REC_BS_R12_R72" localSheetId="4">#REF!</definedName>
    <definedName name="REC_BS_R12_R72" localSheetId="6">#REF!</definedName>
    <definedName name="REC_BS_R12_R72" localSheetId="7">#REF!</definedName>
    <definedName name="REC_BS_R12_R72" localSheetId="8">#REF!</definedName>
    <definedName name="REC_BS_R12_R72" localSheetId="9">#REF!</definedName>
    <definedName name="REC_BS_R12_R72" localSheetId="10">#REF!</definedName>
    <definedName name="REC_BS_R12_R72" localSheetId="11">#REF!</definedName>
    <definedName name="REC_BS_R12_R72" localSheetId="12">#REF!</definedName>
    <definedName name="REC_BS_R12_R72" localSheetId="1">#REF!</definedName>
    <definedName name="REC_BS_R12_R72" localSheetId="2">#REF!</definedName>
    <definedName name="REC_BS_R12_R72" localSheetId="3">#REF!</definedName>
    <definedName name="REC_BS_R12_R72" localSheetId="15">#REF!</definedName>
    <definedName name="REC_BS_R12_R72">#REF!</definedName>
    <definedName name="REC_BS_R12_R73" localSheetId="4">#REF!</definedName>
    <definedName name="REC_BS_R12_R73" localSheetId="6">#REF!</definedName>
    <definedName name="REC_BS_R12_R73" localSheetId="7">#REF!</definedName>
    <definedName name="REC_BS_R12_R73" localSheetId="8">#REF!</definedName>
    <definedName name="REC_BS_R12_R73" localSheetId="9">#REF!</definedName>
    <definedName name="REC_BS_R12_R73" localSheetId="10">#REF!</definedName>
    <definedName name="REC_BS_R12_R73" localSheetId="11">#REF!</definedName>
    <definedName name="REC_BS_R12_R73" localSheetId="12">#REF!</definedName>
    <definedName name="REC_BS_R12_R73" localSheetId="1">#REF!</definedName>
    <definedName name="REC_BS_R12_R73" localSheetId="2">#REF!</definedName>
    <definedName name="REC_BS_R12_R73" localSheetId="3">#REF!</definedName>
    <definedName name="REC_BS_R12_R73" localSheetId="15">#REF!</definedName>
    <definedName name="REC_BS_R12_R73">#REF!</definedName>
    <definedName name="REC_BS_R1C1" localSheetId="4">#REF!</definedName>
    <definedName name="REC_BS_R1C1" localSheetId="6">#REF!</definedName>
    <definedName name="REC_BS_R1C1" localSheetId="7">#REF!</definedName>
    <definedName name="REC_BS_R1C1" localSheetId="8">#REF!</definedName>
    <definedName name="REC_BS_R1C1" localSheetId="9">#REF!</definedName>
    <definedName name="REC_BS_R1C1" localSheetId="10">#REF!</definedName>
    <definedName name="REC_BS_R1C1" localSheetId="11">#REF!</definedName>
    <definedName name="REC_BS_R1C1" localSheetId="12">#REF!</definedName>
    <definedName name="REC_BS_R1C1" localSheetId="1">#REF!</definedName>
    <definedName name="REC_BS_R1C1" localSheetId="2">#REF!</definedName>
    <definedName name="REC_BS_R1C1" localSheetId="3">#REF!</definedName>
    <definedName name="REC_BS_R1C1" localSheetId="15">#REF!</definedName>
    <definedName name="REC_BS_R1C1">#REF!</definedName>
    <definedName name="REC_BS_R2C1" localSheetId="4">#REF!</definedName>
    <definedName name="REC_BS_R2C1" localSheetId="6">#REF!</definedName>
    <definedName name="REC_BS_R2C1" localSheetId="7">#REF!</definedName>
    <definedName name="REC_BS_R2C1" localSheetId="8">#REF!</definedName>
    <definedName name="REC_BS_R2C1" localSheetId="9">#REF!</definedName>
    <definedName name="REC_BS_R2C1" localSheetId="10">#REF!</definedName>
    <definedName name="REC_BS_R2C1" localSheetId="11">#REF!</definedName>
    <definedName name="REC_BS_R2C1" localSheetId="12">#REF!</definedName>
    <definedName name="REC_BS_R2C1" localSheetId="1">#REF!</definedName>
    <definedName name="REC_BS_R2C1" localSheetId="2">#REF!</definedName>
    <definedName name="REC_BS_R2C1" localSheetId="3">#REF!</definedName>
    <definedName name="REC_BS_R2C1" localSheetId="15">#REF!</definedName>
    <definedName name="REC_BS_R2C1">#REF!</definedName>
    <definedName name="REC_BS_R3C1" localSheetId="4">#REF!</definedName>
    <definedName name="REC_BS_R3C1" localSheetId="6">#REF!</definedName>
    <definedName name="REC_BS_R3C1" localSheetId="7">#REF!</definedName>
    <definedName name="REC_BS_R3C1" localSheetId="8">#REF!</definedName>
    <definedName name="REC_BS_R3C1" localSheetId="9">#REF!</definedName>
    <definedName name="REC_BS_R3C1" localSheetId="10">#REF!</definedName>
    <definedName name="REC_BS_R3C1" localSheetId="11">#REF!</definedName>
    <definedName name="REC_BS_R3C1" localSheetId="12">#REF!</definedName>
    <definedName name="REC_BS_R3C1" localSheetId="1">#REF!</definedName>
    <definedName name="REC_BS_R3C1" localSheetId="2">#REF!</definedName>
    <definedName name="REC_BS_R3C1" localSheetId="3">#REF!</definedName>
    <definedName name="REC_BS_R3C1" localSheetId="15">#REF!</definedName>
    <definedName name="REC_BS_R3C1">#REF!</definedName>
    <definedName name="REC_IS_C2_C9" localSheetId="4">#REF!</definedName>
    <definedName name="REC_IS_C2_C9" localSheetId="6">#REF!</definedName>
    <definedName name="REC_IS_C2_C9" localSheetId="7">#REF!</definedName>
    <definedName name="REC_IS_C2_C9" localSheetId="8">#REF!</definedName>
    <definedName name="REC_IS_C2_C9" localSheetId="9">#REF!</definedName>
    <definedName name="REC_IS_C2_C9" localSheetId="10">#REF!</definedName>
    <definedName name="REC_IS_C2_C9" localSheetId="11">#REF!</definedName>
    <definedName name="REC_IS_C2_C9" localSheetId="12">#REF!</definedName>
    <definedName name="REC_IS_C2_C9" localSheetId="1">#REF!</definedName>
    <definedName name="REC_IS_C2_C9" localSheetId="2">#REF!</definedName>
    <definedName name="REC_IS_C2_C9" localSheetId="3">#REF!</definedName>
    <definedName name="REC_IS_C2_C9" localSheetId="15">#REF!</definedName>
    <definedName name="REC_IS_C2_C9">#REF!</definedName>
    <definedName name="REC_IS_R11_R54" localSheetId="4">#REF!</definedName>
    <definedName name="REC_IS_R11_R54" localSheetId="6">#REF!</definedName>
    <definedName name="REC_IS_R11_R54" localSheetId="7">#REF!</definedName>
    <definedName name="REC_IS_R11_R54" localSheetId="8">#REF!</definedName>
    <definedName name="REC_IS_R11_R54" localSheetId="9">#REF!</definedName>
    <definedName name="REC_IS_R11_R54" localSheetId="10">#REF!</definedName>
    <definedName name="REC_IS_R11_R54" localSheetId="11">#REF!</definedName>
    <definedName name="REC_IS_R11_R54" localSheetId="12">#REF!</definedName>
    <definedName name="REC_IS_R11_R54" localSheetId="1">#REF!</definedName>
    <definedName name="REC_IS_R11_R54" localSheetId="2">#REF!</definedName>
    <definedName name="REC_IS_R11_R54" localSheetId="3">#REF!</definedName>
    <definedName name="REC_IS_R11_R54" localSheetId="15">#REF!</definedName>
    <definedName name="REC_IS_R11_R54">#REF!</definedName>
    <definedName name="REC_IS_R1C1" localSheetId="4">#REF!</definedName>
    <definedName name="REC_IS_R1C1" localSheetId="6">#REF!</definedName>
    <definedName name="REC_IS_R1C1" localSheetId="7">#REF!</definedName>
    <definedName name="REC_IS_R1C1" localSheetId="8">#REF!</definedName>
    <definedName name="REC_IS_R1C1" localSheetId="9">#REF!</definedName>
    <definedName name="REC_IS_R1C1" localSheetId="10">#REF!</definedName>
    <definedName name="REC_IS_R1C1" localSheetId="11">#REF!</definedName>
    <definedName name="REC_IS_R1C1" localSheetId="12">#REF!</definedName>
    <definedName name="REC_IS_R1C1" localSheetId="1">#REF!</definedName>
    <definedName name="REC_IS_R1C1" localSheetId="2">#REF!</definedName>
    <definedName name="REC_IS_R1C1" localSheetId="3">#REF!</definedName>
    <definedName name="REC_IS_R1C1" localSheetId="15">#REF!</definedName>
    <definedName name="REC_IS_R1C1">#REF!</definedName>
    <definedName name="REC_IS_R2C1" localSheetId="4">#REF!</definedName>
    <definedName name="REC_IS_R2C1" localSheetId="6">#REF!</definedName>
    <definedName name="REC_IS_R2C1" localSheetId="7">#REF!</definedName>
    <definedName name="REC_IS_R2C1" localSheetId="8">#REF!</definedName>
    <definedName name="REC_IS_R2C1" localSheetId="9">#REF!</definedName>
    <definedName name="REC_IS_R2C1" localSheetId="10">#REF!</definedName>
    <definedName name="REC_IS_R2C1" localSheetId="11">#REF!</definedName>
    <definedName name="REC_IS_R2C1" localSheetId="12">#REF!</definedName>
    <definedName name="REC_IS_R2C1" localSheetId="1">#REF!</definedName>
    <definedName name="REC_IS_R2C1" localSheetId="2">#REF!</definedName>
    <definedName name="REC_IS_R2C1" localSheetId="3">#REF!</definedName>
    <definedName name="REC_IS_R2C1" localSheetId="15">#REF!</definedName>
    <definedName name="REC_IS_R2C1">#REF!</definedName>
    <definedName name="REC_IS_R3C1" localSheetId="4">#REF!</definedName>
    <definedName name="REC_IS_R3C1" localSheetId="6">#REF!</definedName>
    <definedName name="REC_IS_R3C1" localSheetId="7">#REF!</definedName>
    <definedName name="REC_IS_R3C1" localSheetId="8">#REF!</definedName>
    <definedName name="REC_IS_R3C1" localSheetId="9">#REF!</definedName>
    <definedName name="REC_IS_R3C1" localSheetId="10">#REF!</definedName>
    <definedName name="REC_IS_R3C1" localSheetId="11">#REF!</definedName>
    <definedName name="REC_IS_R3C1" localSheetId="12">#REF!</definedName>
    <definedName name="REC_IS_R3C1" localSheetId="1">#REF!</definedName>
    <definedName name="REC_IS_R3C1" localSheetId="2">#REF!</definedName>
    <definedName name="REC_IS_R3C1" localSheetId="3">#REF!</definedName>
    <definedName name="REC_IS_R3C1" localSheetId="15">#REF!</definedName>
    <definedName name="REC_IS_R3C1">#REF!</definedName>
    <definedName name="REDEV_BS_C1_C5" localSheetId="4">REDEV '[4]BS'!$A:$E</definedName>
    <definedName name="REDEV_BS_C1_C5" localSheetId="6">REDEV '[4]BS'!$A:$E</definedName>
    <definedName name="REDEV_BS_C1_C5" localSheetId="7">REDEV '[4]BS'!$A:$E</definedName>
    <definedName name="REDEV_BS_C1_C5" localSheetId="8">REDEV '[4]BS'!$A:$E</definedName>
    <definedName name="REDEV_BS_C1_C5" localSheetId="9">REDEV '[4]BS'!$A:$E</definedName>
    <definedName name="REDEV_BS_C1_C5" localSheetId="10">REDEV '[4]BS'!$A:$E</definedName>
    <definedName name="REDEV_BS_C1_C5" localSheetId="11">REDEV '[4]BS'!$A:$E</definedName>
    <definedName name="REDEV_BS_C1_C5" localSheetId="12">REDEV '[4]BS'!$A:$E</definedName>
    <definedName name="REDEV_BS_C1_C5" localSheetId="1">REDEV '[4]BS'!$A:$E</definedName>
    <definedName name="REDEV_BS_C1_C5" localSheetId="2">REDEV '[4]BS'!$A:$E</definedName>
    <definedName name="REDEV_BS_C1_C5" localSheetId="3">REDEV '[4]BS'!$A:$E</definedName>
    <definedName name="REDEV_BS_C1_C5" localSheetId="15">REDEV '[4]BS'!$A:$E</definedName>
    <definedName name="REDEV_BS_C1_C5">REDEV '[4]BS'!$A:$E</definedName>
    <definedName name="REDEV_BS_C1_C7" localSheetId="4">REDEV '[4]BS'!$A:$G</definedName>
    <definedName name="REDEV_BS_C1_C7" localSheetId="6">REDEV '[4]BS'!$A:$G</definedName>
    <definedName name="REDEV_BS_C1_C7" localSheetId="7">REDEV '[4]BS'!$A:$G</definedName>
    <definedName name="REDEV_BS_C1_C7" localSheetId="8">REDEV '[4]BS'!$A:$G</definedName>
    <definedName name="REDEV_BS_C1_C7" localSheetId="9">REDEV '[4]BS'!$A:$G</definedName>
    <definedName name="REDEV_BS_C1_C7" localSheetId="10">REDEV '[4]BS'!$A:$G</definedName>
    <definedName name="REDEV_BS_C1_C7" localSheetId="11">REDEV '[4]BS'!$A:$G</definedName>
    <definedName name="REDEV_BS_C1_C7" localSheetId="12">REDEV '[4]BS'!$A:$G</definedName>
    <definedName name="REDEV_BS_C1_C7" localSheetId="1">REDEV '[4]BS'!$A:$G</definedName>
    <definedName name="REDEV_BS_C1_C7" localSheetId="2">REDEV '[4]BS'!$A:$G</definedName>
    <definedName name="REDEV_BS_C1_C7" localSheetId="3">REDEV '[4]BS'!$A:$G</definedName>
    <definedName name="REDEV_BS_C1_C7" localSheetId="15">REDEV '[4]BS'!$A:$G</definedName>
    <definedName name="REDEV_BS_C1_C7">REDEV '[4]BS'!$A:$G</definedName>
    <definedName name="REDEV_BS_C2_C6" localSheetId="4">REDEV '[4]BS'!$B:$F</definedName>
    <definedName name="REDEV_BS_C2_C6" localSheetId="6">REDEV '[4]BS'!$B:$F</definedName>
    <definedName name="REDEV_BS_C2_C6" localSheetId="7">REDEV '[4]BS'!$B:$F</definedName>
    <definedName name="REDEV_BS_C2_C6" localSheetId="8">REDEV '[4]BS'!$B:$F</definedName>
    <definedName name="REDEV_BS_C2_C6" localSheetId="9">REDEV '[4]BS'!$B:$F</definedName>
    <definedName name="REDEV_BS_C2_C6" localSheetId="10">REDEV '[4]BS'!$B:$F</definedName>
    <definedName name="REDEV_BS_C2_C6" localSheetId="11">REDEV '[4]BS'!$B:$F</definedName>
    <definedName name="REDEV_BS_C2_C6" localSheetId="12">REDEV '[4]BS'!$B:$F</definedName>
    <definedName name="REDEV_BS_C2_C6" localSheetId="1">REDEV '[4]BS'!$B:$F</definedName>
    <definedName name="REDEV_BS_C2_C6" localSheetId="2">REDEV '[4]BS'!$B:$F</definedName>
    <definedName name="REDEV_BS_C2_C6" localSheetId="3">REDEV '[4]BS'!$B:$F</definedName>
    <definedName name="REDEV_BS_C2_C6" localSheetId="15">REDEV '[4]BS'!$B:$F</definedName>
    <definedName name="REDEV_BS_C2_C6">REDEV '[4]BS'!$B:$F</definedName>
    <definedName name="REDEV_BS_R11_R33" localSheetId="4">REDEV '[4]BS'!$11:$33</definedName>
    <definedName name="REDEV_BS_R11_R33" localSheetId="6">REDEV '[4]BS'!$11:$33</definedName>
    <definedName name="REDEV_BS_R11_R33" localSheetId="7">REDEV '[4]BS'!$11:$33</definedName>
    <definedName name="REDEV_BS_R11_R33" localSheetId="8">REDEV '[4]BS'!$11:$33</definedName>
    <definedName name="REDEV_BS_R11_R33" localSheetId="9">REDEV '[4]BS'!$11:$33</definedName>
    <definedName name="REDEV_BS_R11_R33" localSheetId="10">REDEV '[4]BS'!$11:$33</definedName>
    <definedName name="REDEV_BS_R11_R33" localSheetId="11">REDEV '[4]BS'!$11:$33</definedName>
    <definedName name="REDEV_BS_R11_R33" localSheetId="12">REDEV '[4]BS'!$11:$33</definedName>
    <definedName name="REDEV_BS_R11_R33" localSheetId="1">REDEV '[4]BS'!$11:$33</definedName>
    <definedName name="REDEV_BS_R11_R33" localSheetId="2">REDEV '[4]BS'!$11:$33</definedName>
    <definedName name="REDEV_BS_R11_R33" localSheetId="3">REDEV '[4]BS'!$11:$33</definedName>
    <definedName name="REDEV_BS_R11_R33" localSheetId="15">REDEV '[4]BS'!$11:$33</definedName>
    <definedName name="REDEV_BS_R11_R33">REDEV '[4]BS'!$11:$33</definedName>
    <definedName name="REDEV_BS_R11_R40" localSheetId="4">REDEV '[4]BS'!$11:$40</definedName>
    <definedName name="REDEV_BS_R11_R40" localSheetId="6">REDEV '[4]BS'!$11:$40</definedName>
    <definedName name="REDEV_BS_R11_R40" localSheetId="7">REDEV '[4]BS'!$11:$40</definedName>
    <definedName name="REDEV_BS_R11_R40" localSheetId="8">REDEV '[4]BS'!$11:$40</definedName>
    <definedName name="REDEV_BS_R11_R40" localSheetId="9">REDEV '[4]BS'!$11:$40</definedName>
    <definedName name="REDEV_BS_R11_R40" localSheetId="10">REDEV '[4]BS'!$11:$40</definedName>
    <definedName name="REDEV_BS_R11_R40" localSheetId="11">REDEV '[4]BS'!$11:$40</definedName>
    <definedName name="REDEV_BS_R11_R40" localSheetId="12">REDEV '[4]BS'!$11:$40</definedName>
    <definedName name="REDEV_BS_R11_R40" localSheetId="1">REDEV '[4]BS'!$11:$40</definedName>
    <definedName name="REDEV_BS_R11_R40" localSheetId="2">REDEV '[4]BS'!$11:$40</definedName>
    <definedName name="REDEV_BS_R11_R40" localSheetId="3">REDEV '[4]BS'!$11:$40</definedName>
    <definedName name="REDEV_BS_R11_R40" localSheetId="15">REDEV '[4]BS'!$11:$40</definedName>
    <definedName name="REDEV_BS_R11_R40">REDEV '[4]BS'!$11:$40</definedName>
    <definedName name="REDEV_BS_R1C1" localSheetId="4">REDEV '[4]BS'!$A$1</definedName>
    <definedName name="REDEV_BS_R1C1" localSheetId="6">REDEV '[4]BS'!$A$1</definedName>
    <definedName name="REDEV_BS_R1C1" localSheetId="7">REDEV '[4]BS'!$A$1</definedName>
    <definedName name="REDEV_BS_R1C1" localSheetId="8">REDEV '[4]BS'!$A$1</definedName>
    <definedName name="REDEV_BS_R1C1" localSheetId="9">REDEV '[4]BS'!$A$1</definedName>
    <definedName name="REDEV_BS_R1C1" localSheetId="10">REDEV '[4]BS'!$A$1</definedName>
    <definedName name="REDEV_BS_R1C1" localSheetId="11">REDEV '[4]BS'!$A$1</definedName>
    <definedName name="REDEV_BS_R1C1" localSheetId="12">REDEV '[4]BS'!$A$1</definedName>
    <definedName name="REDEV_BS_R1C1" localSheetId="1">REDEV '[4]BS'!$A$1</definedName>
    <definedName name="REDEV_BS_R1C1" localSheetId="2">REDEV '[4]BS'!$A$1</definedName>
    <definedName name="REDEV_BS_R1C1" localSheetId="3">REDEV '[4]BS'!$A$1</definedName>
    <definedName name="REDEV_BS_R1C1" localSheetId="15">REDEV '[4]BS'!$A$1</definedName>
    <definedName name="REDEV_BS_R1C1">REDEV '[4]BS'!$A$1</definedName>
    <definedName name="REDEV_BS_R2C1" localSheetId="4">REDEV '[4]BS'!$A$2</definedName>
    <definedName name="REDEV_BS_R2C1" localSheetId="6">REDEV '[4]BS'!$A$2</definedName>
    <definedName name="REDEV_BS_R2C1" localSheetId="7">REDEV '[4]BS'!$A$2</definedName>
    <definedName name="REDEV_BS_R2C1" localSheetId="8">REDEV '[4]BS'!$A$2</definedName>
    <definedName name="REDEV_BS_R2C1" localSheetId="9">REDEV '[4]BS'!$A$2</definedName>
    <definedName name="REDEV_BS_R2C1" localSheetId="10">REDEV '[4]BS'!$A$2</definedName>
    <definedName name="REDEV_BS_R2C1" localSheetId="11">REDEV '[4]BS'!$A$2</definedName>
    <definedName name="REDEV_BS_R2C1" localSheetId="12">REDEV '[4]BS'!$A$2</definedName>
    <definedName name="REDEV_BS_R2C1" localSheetId="1">REDEV '[4]BS'!$A$2</definedName>
    <definedName name="REDEV_BS_R2C1" localSheetId="2">REDEV '[4]BS'!$A$2</definedName>
    <definedName name="REDEV_BS_R2C1" localSheetId="3">REDEV '[4]BS'!$A$2</definedName>
    <definedName name="REDEV_BS_R2C1" localSheetId="15">REDEV '[4]BS'!$A$2</definedName>
    <definedName name="REDEV_BS_R2C1">REDEV '[4]BS'!$A$2</definedName>
    <definedName name="REDEV_BS_R3C1" localSheetId="4">REDEV '[4]BS'!$A$3</definedName>
    <definedName name="REDEV_BS_R3C1" localSheetId="6">REDEV '[4]BS'!$A$3</definedName>
    <definedName name="REDEV_BS_R3C1" localSheetId="7">REDEV '[4]BS'!$A$3</definedName>
    <definedName name="REDEV_BS_R3C1" localSheetId="8">REDEV '[4]BS'!$A$3</definedName>
    <definedName name="REDEV_BS_R3C1" localSheetId="9">REDEV '[4]BS'!$A$3</definedName>
    <definedName name="REDEV_BS_R3C1" localSheetId="10">REDEV '[4]BS'!$A$3</definedName>
    <definedName name="REDEV_BS_R3C1" localSheetId="11">REDEV '[4]BS'!$A$3</definedName>
    <definedName name="REDEV_BS_R3C1" localSheetId="12">REDEV '[4]BS'!$A$3</definedName>
    <definedName name="REDEV_BS_R3C1" localSheetId="1">REDEV '[4]BS'!$A$3</definedName>
    <definedName name="REDEV_BS_R3C1" localSheetId="2">REDEV '[4]BS'!$A$3</definedName>
    <definedName name="REDEV_BS_R3C1" localSheetId="3">REDEV '[4]BS'!$A$3</definedName>
    <definedName name="REDEV_BS_R3C1" localSheetId="15">REDEV '[4]BS'!$A$3</definedName>
    <definedName name="REDEV_BS_R3C1">REDEV '[4]BS'!$A$3</definedName>
    <definedName name="REDEV_BS_R4C1" localSheetId="4">REDEV '[4]BS'!$A$4</definedName>
    <definedName name="REDEV_BS_R4C1" localSheetId="6">REDEV '[4]BS'!$A$4</definedName>
    <definedName name="REDEV_BS_R4C1" localSheetId="7">REDEV '[4]BS'!$A$4</definedName>
    <definedName name="REDEV_BS_R4C1" localSheetId="8">REDEV '[4]BS'!$A$4</definedName>
    <definedName name="REDEV_BS_R4C1" localSheetId="9">REDEV '[4]BS'!$A$4</definedName>
    <definedName name="REDEV_BS_R4C1" localSheetId="10">REDEV '[4]BS'!$A$4</definedName>
    <definedName name="REDEV_BS_R4C1" localSheetId="11">REDEV '[4]BS'!$A$4</definedName>
    <definedName name="REDEV_BS_R4C1" localSheetId="12">REDEV '[4]BS'!$A$4</definedName>
    <definedName name="REDEV_BS_R4C1" localSheetId="1">REDEV '[4]BS'!$A$4</definedName>
    <definedName name="REDEV_BS_R4C1" localSheetId="2">REDEV '[4]BS'!$A$4</definedName>
    <definedName name="REDEV_BS_R4C1" localSheetId="3">REDEV '[4]BS'!$A$4</definedName>
    <definedName name="REDEV_BS_R4C1" localSheetId="15">REDEV '[4]BS'!$A$4</definedName>
    <definedName name="REDEV_BS_R4C1">REDEV '[4]BS'!$A$4</definedName>
    <definedName name="REDEV_BS_R5C1" localSheetId="4">REDEV '[4]BS'!$A$5</definedName>
    <definedName name="REDEV_BS_R5C1" localSheetId="6">REDEV '[4]BS'!$A$5</definedName>
    <definedName name="REDEV_BS_R5C1" localSheetId="7">REDEV '[4]BS'!$A$5</definedName>
    <definedName name="REDEV_BS_R5C1" localSheetId="8">REDEV '[4]BS'!$A$5</definedName>
    <definedName name="REDEV_BS_R5C1" localSheetId="9">REDEV '[4]BS'!$A$5</definedName>
    <definedName name="REDEV_BS_R5C1" localSheetId="10">REDEV '[4]BS'!$A$5</definedName>
    <definedName name="REDEV_BS_R5C1" localSheetId="11">REDEV '[4]BS'!$A$5</definedName>
    <definedName name="REDEV_BS_R5C1" localSheetId="12">REDEV '[4]BS'!$A$5</definedName>
    <definedName name="REDEV_BS_R5C1" localSheetId="1">REDEV '[4]BS'!$A$5</definedName>
    <definedName name="REDEV_BS_R5C1" localSheetId="2">REDEV '[4]BS'!$A$5</definedName>
    <definedName name="REDEV_BS_R5C1" localSheetId="3">REDEV '[4]BS'!$A$5</definedName>
    <definedName name="REDEV_BS_R5C1" localSheetId="15">REDEV '[4]BS'!$A$5</definedName>
    <definedName name="REDEV_BS_R5C1">REDEV '[4]BS'!$A$5</definedName>
    <definedName name="REDEV_IS_C1_C7" localSheetId="4">REDEV '[3]IS'!$A:$G</definedName>
    <definedName name="REDEV_IS_C1_C7" localSheetId="6">REDEV '[3]IS'!$A:$G</definedName>
    <definedName name="REDEV_IS_C1_C7" localSheetId="7">REDEV '[3]IS'!$A:$G</definedName>
    <definedName name="REDEV_IS_C1_C7" localSheetId="8">REDEV '[3]IS'!$A:$G</definedName>
    <definedName name="REDEV_IS_C1_C7" localSheetId="9">REDEV '[3]IS'!$A:$G</definedName>
    <definedName name="REDEV_IS_C1_C7" localSheetId="10">REDEV '[3]IS'!$A:$G</definedName>
    <definedName name="REDEV_IS_C1_C7" localSheetId="11">REDEV '[3]IS'!$A:$G</definedName>
    <definedName name="REDEV_IS_C1_C7" localSheetId="12">REDEV '[3]IS'!$A:$G</definedName>
    <definedName name="REDEV_IS_C1_C7" localSheetId="1">REDEV '[3]IS'!$A:$G</definedName>
    <definedName name="REDEV_IS_C1_C7" localSheetId="2">REDEV '[3]IS'!$A:$G</definedName>
    <definedName name="REDEV_IS_C1_C7" localSheetId="3">REDEV '[3]IS'!$A:$G</definedName>
    <definedName name="REDEV_IS_C1_C7" localSheetId="15">REDEV '[3]IS'!$A:$G</definedName>
    <definedName name="REDEV_IS_C1_C7">REDEV '[3]IS'!$A:$G</definedName>
    <definedName name="REDEV_IS_C2_C8" localSheetId="4">REDEV '[3]IS'!$B:$H</definedName>
    <definedName name="REDEV_IS_C2_C8" localSheetId="6">REDEV '[3]IS'!$B:$H</definedName>
    <definedName name="REDEV_IS_C2_C8" localSheetId="7">REDEV '[3]IS'!$B:$H</definedName>
    <definedName name="REDEV_IS_C2_C8" localSheetId="8">REDEV '[3]IS'!$B:$H</definedName>
    <definedName name="REDEV_IS_C2_C8" localSheetId="9">REDEV '[3]IS'!$B:$H</definedName>
    <definedName name="REDEV_IS_C2_C8" localSheetId="10">REDEV '[3]IS'!$B:$H</definedName>
    <definedName name="REDEV_IS_C2_C8" localSheetId="11">REDEV '[3]IS'!$B:$H</definedName>
    <definedName name="REDEV_IS_C2_C8" localSheetId="12">REDEV '[3]IS'!$B:$H</definedName>
    <definedName name="REDEV_IS_C2_C8" localSheetId="1">REDEV '[3]IS'!$B:$H</definedName>
    <definedName name="REDEV_IS_C2_C8" localSheetId="2">REDEV '[3]IS'!$B:$H</definedName>
    <definedName name="REDEV_IS_C2_C8" localSheetId="3">REDEV '[3]IS'!$B:$H</definedName>
    <definedName name="REDEV_IS_C2_C8" localSheetId="15">REDEV '[3]IS'!$B:$H</definedName>
    <definedName name="REDEV_IS_C2_C8">REDEV '[3]IS'!$B:$H</definedName>
    <definedName name="REDEV_IS_R11_R51" localSheetId="4">REDEV '[3]IS'!$11:$51</definedName>
    <definedName name="REDEV_IS_R11_R51" localSheetId="6">REDEV '[3]IS'!$11:$51</definedName>
    <definedName name="REDEV_IS_R11_R51" localSheetId="7">REDEV '[3]IS'!$11:$51</definedName>
    <definedName name="REDEV_IS_R11_R51" localSheetId="8">REDEV '[3]IS'!$11:$51</definedName>
    <definedName name="REDEV_IS_R11_R51" localSheetId="9">REDEV '[3]IS'!$11:$51</definedName>
    <definedName name="REDEV_IS_R11_R51" localSheetId="10">REDEV '[3]IS'!$11:$51</definedName>
    <definedName name="REDEV_IS_R11_R51" localSheetId="11">REDEV '[3]IS'!$11:$51</definedName>
    <definedName name="REDEV_IS_R11_R51" localSheetId="12">REDEV '[3]IS'!$11:$51</definedName>
    <definedName name="REDEV_IS_R11_R51" localSheetId="1">REDEV '[3]IS'!$11:$51</definedName>
    <definedName name="REDEV_IS_R11_R51" localSheetId="2">REDEV '[3]IS'!$11:$51</definedName>
    <definedName name="REDEV_IS_R11_R51" localSheetId="3">REDEV '[3]IS'!$11:$51</definedName>
    <definedName name="REDEV_IS_R11_R51" localSheetId="15">REDEV '[3]IS'!$11:$51</definedName>
    <definedName name="REDEV_IS_R11_R51">REDEV '[3]IS'!$11:$51</definedName>
    <definedName name="REDEV_IS_R11_R52" localSheetId="4">REDEV '[3]IS'!$11:$52</definedName>
    <definedName name="REDEV_IS_R11_R52" localSheetId="6">REDEV '[3]IS'!$11:$52</definedName>
    <definedName name="REDEV_IS_R11_R52" localSheetId="7">REDEV '[3]IS'!$11:$52</definedName>
    <definedName name="REDEV_IS_R11_R52" localSheetId="8">REDEV '[3]IS'!$11:$52</definedName>
    <definedName name="REDEV_IS_R11_R52" localSheetId="9">REDEV '[3]IS'!$11:$52</definedName>
    <definedName name="REDEV_IS_R11_R52" localSheetId="10">REDEV '[3]IS'!$11:$52</definedName>
    <definedName name="REDEV_IS_R11_R52" localSheetId="11">REDEV '[3]IS'!$11:$52</definedName>
    <definedName name="REDEV_IS_R11_R52" localSheetId="12">REDEV '[3]IS'!$11:$52</definedName>
    <definedName name="REDEV_IS_R11_R52" localSheetId="1">REDEV '[3]IS'!$11:$52</definedName>
    <definedName name="REDEV_IS_R11_R52" localSheetId="2">REDEV '[3]IS'!$11:$52</definedName>
    <definedName name="REDEV_IS_R11_R52" localSheetId="3">REDEV '[3]IS'!$11:$52</definedName>
    <definedName name="REDEV_IS_R11_R52" localSheetId="15">REDEV '[3]IS'!$11:$52</definedName>
    <definedName name="REDEV_IS_R11_R52">REDEV '[3]IS'!$11:$52</definedName>
    <definedName name="REDEV_IS_R1C1" localSheetId="4">REDEV '[3]IS'!$A$1</definedName>
    <definedName name="REDEV_IS_R1C1" localSheetId="6">REDEV '[3]IS'!$A$1</definedName>
    <definedName name="REDEV_IS_R1C1" localSheetId="7">REDEV '[3]IS'!$A$1</definedName>
    <definedName name="REDEV_IS_R1C1" localSheetId="8">REDEV '[3]IS'!$A$1</definedName>
    <definedName name="REDEV_IS_R1C1" localSheetId="9">REDEV '[3]IS'!$A$1</definedName>
    <definedName name="REDEV_IS_R1C1" localSheetId="10">REDEV '[3]IS'!$A$1</definedName>
    <definedName name="REDEV_IS_R1C1" localSheetId="11">REDEV '[3]IS'!$A$1</definedName>
    <definedName name="REDEV_IS_R1C1" localSheetId="12">REDEV '[3]IS'!$A$1</definedName>
    <definedName name="REDEV_IS_R1C1" localSheetId="1">REDEV '[3]IS'!$A$1</definedName>
    <definedName name="REDEV_IS_R1C1" localSheetId="2">REDEV '[3]IS'!$A$1</definedName>
    <definedName name="REDEV_IS_R1C1" localSheetId="3">REDEV '[3]IS'!$A$1</definedName>
    <definedName name="REDEV_IS_R1C1" localSheetId="15">REDEV '[3]IS'!$A$1</definedName>
    <definedName name="REDEV_IS_R1C1">REDEV '[3]IS'!$A$1</definedName>
    <definedName name="REDEV_IS_R2C1" localSheetId="4">REDEV '[3]IS'!$A$2</definedName>
    <definedName name="REDEV_IS_R2C1" localSheetId="6">REDEV '[3]IS'!$A$2</definedName>
    <definedName name="REDEV_IS_R2C1" localSheetId="7">REDEV '[3]IS'!$A$2</definedName>
    <definedName name="REDEV_IS_R2C1" localSheetId="8">REDEV '[3]IS'!$A$2</definedName>
    <definedName name="REDEV_IS_R2C1" localSheetId="9">REDEV '[3]IS'!$A$2</definedName>
    <definedName name="REDEV_IS_R2C1" localSheetId="10">REDEV '[3]IS'!$A$2</definedName>
    <definedName name="REDEV_IS_R2C1" localSheetId="11">REDEV '[3]IS'!$A$2</definedName>
    <definedName name="REDEV_IS_R2C1" localSheetId="12">REDEV '[3]IS'!$A$2</definedName>
    <definedName name="REDEV_IS_R2C1" localSheetId="1">REDEV '[3]IS'!$A$2</definedName>
    <definedName name="REDEV_IS_R2C1" localSheetId="2">REDEV '[3]IS'!$A$2</definedName>
    <definedName name="REDEV_IS_R2C1" localSheetId="3">REDEV '[3]IS'!$A$2</definedName>
    <definedName name="REDEV_IS_R2C1" localSheetId="15">REDEV '[3]IS'!$A$2</definedName>
    <definedName name="REDEV_IS_R2C1">REDEV '[3]IS'!$A$2</definedName>
    <definedName name="REDEV_IS_R3C1" localSheetId="4">REDEV '[3]IS'!$A$3</definedName>
    <definedName name="REDEV_IS_R3C1" localSheetId="6">REDEV '[3]IS'!$A$3</definedName>
    <definedName name="REDEV_IS_R3C1" localSheetId="7">REDEV '[3]IS'!$A$3</definedName>
    <definedName name="REDEV_IS_R3C1" localSheetId="8">REDEV '[3]IS'!$A$3</definedName>
    <definedName name="REDEV_IS_R3C1" localSheetId="9">REDEV '[3]IS'!$A$3</definedName>
    <definedName name="REDEV_IS_R3C1" localSheetId="10">REDEV '[3]IS'!$A$3</definedName>
    <definedName name="REDEV_IS_R3C1" localSheetId="11">REDEV '[3]IS'!$A$3</definedName>
    <definedName name="REDEV_IS_R3C1" localSheetId="12">REDEV '[3]IS'!$A$3</definedName>
    <definedName name="REDEV_IS_R3C1" localSheetId="1">REDEV '[3]IS'!$A$3</definedName>
    <definedName name="REDEV_IS_R3C1" localSheetId="2">REDEV '[3]IS'!$A$3</definedName>
    <definedName name="REDEV_IS_R3C1" localSheetId="3">REDEV '[3]IS'!$A$3</definedName>
    <definedName name="REDEV_IS_R3C1" localSheetId="15">REDEV '[3]IS'!$A$3</definedName>
    <definedName name="REDEV_IS_R3C1">REDEV '[3]IS'!$A$3</definedName>
    <definedName name="REDEV_IS_R4C1" localSheetId="4">REDEV '[3]IS'!$A$4</definedName>
    <definedName name="REDEV_IS_R4C1" localSheetId="6">REDEV '[3]IS'!$A$4</definedName>
    <definedName name="REDEV_IS_R4C1" localSheetId="7">REDEV '[3]IS'!$A$4</definedName>
    <definedName name="REDEV_IS_R4C1" localSheetId="8">REDEV '[3]IS'!$A$4</definedName>
    <definedName name="REDEV_IS_R4C1" localSheetId="9">REDEV '[3]IS'!$A$4</definedName>
    <definedName name="REDEV_IS_R4C1" localSheetId="10">REDEV '[3]IS'!$A$4</definedName>
    <definedName name="REDEV_IS_R4C1" localSheetId="11">REDEV '[3]IS'!$A$4</definedName>
    <definedName name="REDEV_IS_R4C1" localSheetId="12">REDEV '[3]IS'!$A$4</definedName>
    <definedName name="REDEV_IS_R4C1" localSheetId="1">REDEV '[3]IS'!$A$4</definedName>
    <definedName name="REDEV_IS_R4C1" localSheetId="2">REDEV '[3]IS'!$A$4</definedName>
    <definedName name="REDEV_IS_R4C1" localSheetId="3">REDEV '[3]IS'!$A$4</definedName>
    <definedName name="REDEV_IS_R4C1" localSheetId="15">REDEV '[3]IS'!$A$4</definedName>
    <definedName name="REDEV_IS_R4C1">REDEV '[3]IS'!$A$4</definedName>
    <definedName name="REDEV_IS_R5C1" localSheetId="4">REDEV '[3]IS'!$A$5</definedName>
    <definedName name="REDEV_IS_R5C1" localSheetId="6">REDEV '[3]IS'!$A$5</definedName>
    <definedName name="REDEV_IS_R5C1" localSheetId="7">REDEV '[3]IS'!$A$5</definedName>
    <definedName name="REDEV_IS_R5C1" localSheetId="8">REDEV '[3]IS'!$A$5</definedName>
    <definedName name="REDEV_IS_R5C1" localSheetId="9">REDEV '[3]IS'!$A$5</definedName>
    <definedName name="REDEV_IS_R5C1" localSheetId="10">REDEV '[3]IS'!$A$5</definedName>
    <definedName name="REDEV_IS_R5C1" localSheetId="11">REDEV '[3]IS'!$A$5</definedName>
    <definedName name="REDEV_IS_R5C1" localSheetId="12">REDEV '[3]IS'!$A$5</definedName>
    <definedName name="REDEV_IS_R5C1" localSheetId="1">REDEV '[3]IS'!$A$5</definedName>
    <definedName name="REDEV_IS_R5C1" localSheetId="2">REDEV '[3]IS'!$A$5</definedName>
    <definedName name="REDEV_IS_R5C1" localSheetId="3">REDEV '[3]IS'!$A$5</definedName>
    <definedName name="REDEV_IS_R5C1" localSheetId="15">REDEV '[3]IS'!$A$5</definedName>
    <definedName name="REDEV_IS_R5C1">REDEV '[3]IS'!$A$5</definedName>
    <definedName name="REDEV_IS_R6C1" localSheetId="4">REDEV '[3]IS'!$A$6</definedName>
    <definedName name="REDEV_IS_R6C1" localSheetId="6">REDEV '[3]IS'!$A$6</definedName>
    <definedName name="REDEV_IS_R6C1" localSheetId="7">REDEV '[3]IS'!$A$6</definedName>
    <definedName name="REDEV_IS_R6C1" localSheetId="8">REDEV '[3]IS'!$A$6</definedName>
    <definedName name="REDEV_IS_R6C1" localSheetId="9">REDEV '[3]IS'!$A$6</definedName>
    <definedName name="REDEV_IS_R6C1" localSheetId="10">REDEV '[3]IS'!$A$6</definedName>
    <definedName name="REDEV_IS_R6C1" localSheetId="11">REDEV '[3]IS'!$A$6</definedName>
    <definedName name="REDEV_IS_R6C1" localSheetId="12">REDEV '[3]IS'!$A$6</definedName>
    <definedName name="REDEV_IS_R6C1" localSheetId="1">REDEV '[3]IS'!$A$6</definedName>
    <definedName name="REDEV_IS_R6C1" localSheetId="2">REDEV '[3]IS'!$A$6</definedName>
    <definedName name="REDEV_IS_R6C1" localSheetId="3">REDEV '[3]IS'!$A$6</definedName>
    <definedName name="REDEV_IS_R6C1" localSheetId="15">REDEV '[3]IS'!$A$6</definedName>
    <definedName name="REDEV_IS_R6C1">REDEV '[3]IS'!$A$6</definedName>
    <definedName name="SAL_BS_C2_C8">#REF!</definedName>
    <definedName name="SAL_BS_OTHER_L">'[1]SALCRK'!$Y$59:$Y$59</definedName>
    <definedName name="SAL_BS_R11_R73">#REF!</definedName>
    <definedName name="SAL_YTD_NET">'[1]SALCRK'!$AC$164:$AC$164</definedName>
    <definedName name="SALBS_COMPANY">#REF!</definedName>
    <definedName name="SALBS_CU">#REF!</definedName>
    <definedName name="SALBS_CU_VAR">#REF!</definedName>
    <definedName name="SALBS_DATE">#REF!</definedName>
    <definedName name="SALBS_DEC31">#REF!</definedName>
    <definedName name="SALBS_DESC">#REF!</definedName>
    <definedName name="SALBS_PL">#REF!</definedName>
    <definedName name="SALBS_PL_VAR">#REF!</definedName>
    <definedName name="SALBS_ROWS">#REF!</definedName>
    <definedName name="SALBS_STMT">#REF!</definedName>
    <definedName name="SALIS_ACNU">#REF!</definedName>
    <definedName name="SALIS_COMPANY">#REF!</definedName>
    <definedName name="SALIS_CU_MO">#REF!</definedName>
    <definedName name="SALIS_CU_YTD">#REF!</definedName>
    <definedName name="SALIS_DATE">#REF!</definedName>
    <definedName name="SALIS_DESC">#REF!</definedName>
    <definedName name="SALIS_PL_MO">#REF!</definedName>
    <definedName name="SALIS_PL_YTD">#REF!</definedName>
    <definedName name="SALIS_PR_MO">#REF!</definedName>
    <definedName name="SALIS_PR_YTD">#REF!</definedName>
    <definedName name="SALIS_ROWS">#REF!</definedName>
    <definedName name="SALIS_STMT">#REF!</definedName>
    <definedName name="SCO_BS_C2_C5">#REF!</definedName>
    <definedName name="SCO_BS_C3_C6">#REF!</definedName>
    <definedName name="SCO_BS_R11_R73">#REF!</definedName>
    <definedName name="SCO_BS_R2C1">#REF!</definedName>
    <definedName name="SCO_BS_R3C1">#REF!</definedName>
    <definedName name="SCO_BS_R4C1">#REF!</definedName>
    <definedName name="SCO_DEV_IS">#REF!</definedName>
    <definedName name="SCO_IS_C2">#REF!</definedName>
    <definedName name="SCOBS_COMPANY">#REF!</definedName>
    <definedName name="SCOBS_CU">#REF!</definedName>
    <definedName name="SCOBS_CU_VAR">#REF!</definedName>
    <definedName name="SCOBS_DATE">#REF!</definedName>
    <definedName name="SCOBS_DEC31">#REF!</definedName>
    <definedName name="SCOBS_DESC">#REF!</definedName>
    <definedName name="SCOBS_PL">#REF!</definedName>
    <definedName name="SCOBS_PL_VAR">#REF!</definedName>
    <definedName name="SCOBS_ROWS">#REF!</definedName>
    <definedName name="SCOBS_STMT">#REF!</definedName>
    <definedName name="SCOIS_ACNU">#REF!</definedName>
    <definedName name="SCOIS_COMPANY">#REF!</definedName>
    <definedName name="SCOIS_CU_MO">#REF!</definedName>
    <definedName name="SCOIS_CU_YTD">#REF!</definedName>
    <definedName name="SCOIS_DATE">#REF!</definedName>
    <definedName name="SCOIS_DESC">#REF!</definedName>
    <definedName name="SCOIS_PL_MO">#REF!</definedName>
    <definedName name="SCOIS_PL_YTD">#REF!</definedName>
    <definedName name="SCOIS_PR_MO">#REF!</definedName>
    <definedName name="SCOIS_PR_YTD">#REF!</definedName>
    <definedName name="SCOIS_ROWS">#REF!</definedName>
    <definedName name="SCOIS_STMT">#REF!</definedName>
    <definedName name="SCOPAC_BS_OLIAB">'[1]SCO'!$Y$59:$Y$59</definedName>
    <definedName name="SCOPAC_YTD_AMOR">'[1]SCO'!$AC$143:$AC$143</definedName>
    <definedName name="SCOPAC_YTD_DEPL">'[1]SCO'!$AC$127:$AC$127</definedName>
    <definedName name="SCOPAC_YTD_NET">'[1]SCO'!$AC$164:$AC$164</definedName>
    <definedName name="SCOPACBS_C_2_5">#REF!</definedName>
    <definedName name="ScoRedevBS_C2_C5">#REF!</definedName>
    <definedName name="ScoRedevBS_C2_C6">#REF!</definedName>
    <definedName name="ScoRedevBS_C3_C6">#REF!</definedName>
    <definedName name="ScoRedevBS_C3_C7" localSheetId="4">#REF!</definedName>
    <definedName name="ScoRedevBS_C3_C7" localSheetId="6">#REF!</definedName>
    <definedName name="ScoRedevBS_C3_C7" localSheetId="7">#REF!</definedName>
    <definedName name="ScoRedevBS_C3_C7" localSheetId="8">#REF!</definedName>
    <definedName name="ScoRedevBS_C3_C7" localSheetId="9">#REF!</definedName>
    <definedName name="ScoRedevBS_C3_C7" localSheetId="10">#REF!</definedName>
    <definedName name="ScoRedevBS_C3_C7" localSheetId="11">#REF!</definedName>
    <definedName name="ScoRedevBS_C3_C7" localSheetId="12">#REF!</definedName>
    <definedName name="ScoRedevBS_C3_C7" localSheetId="1">#REF!</definedName>
    <definedName name="ScoRedevBS_C3_C7" localSheetId="2">#REF!</definedName>
    <definedName name="ScoRedevBS_C3_C7" localSheetId="3">#REF!</definedName>
    <definedName name="ScoRedevBS_C3_C7" localSheetId="15">#REF!</definedName>
    <definedName name="ScoRedevBS_C3_C7">#REF!</definedName>
    <definedName name="ScoRedevBS_R11_R40">#REF!</definedName>
    <definedName name="ScoRedevBS_R11_R73">#REF!</definedName>
    <definedName name="ScoRedevBS_R12C2" localSheetId="4">#REF!</definedName>
    <definedName name="ScoRedevBS_R12C2" localSheetId="6">#REF!</definedName>
    <definedName name="ScoRedevBS_R12C2" localSheetId="7">#REF!</definedName>
    <definedName name="ScoRedevBS_R12C2" localSheetId="8">#REF!</definedName>
    <definedName name="ScoRedevBS_R12C2" localSheetId="9">#REF!</definedName>
    <definedName name="ScoRedevBS_R12C2" localSheetId="10">#REF!</definedName>
    <definedName name="ScoRedevBS_R12C2" localSheetId="11">#REF!</definedName>
    <definedName name="ScoRedevBS_R12C2" localSheetId="12">#REF!</definedName>
    <definedName name="ScoRedevBS_R12C2" localSheetId="1">#REF!</definedName>
    <definedName name="ScoRedevBS_R12C2" localSheetId="2">#REF!</definedName>
    <definedName name="ScoRedevBS_R12C2" localSheetId="3">#REF!</definedName>
    <definedName name="ScoRedevBS_R12C2" localSheetId="15">#REF!</definedName>
    <definedName name="ScoRedevBS_R12C2">#REF!</definedName>
    <definedName name="ScoRedevBS_R1C1">#REF!</definedName>
    <definedName name="ScoRedevBS_R2C1">#REF!</definedName>
    <definedName name="ScoRedevBS_R3C1">#REF!</definedName>
    <definedName name="ScoRedevBS_R4C1">#REF!</definedName>
    <definedName name="ScoRedevIS_C2_C8" localSheetId="4">#REF!</definedName>
    <definedName name="ScoRedevIS_C2_C8" localSheetId="6">#REF!</definedName>
    <definedName name="ScoRedevIS_C2_C8" localSheetId="7">#REF!</definedName>
    <definedName name="ScoRedevIS_C2_C8" localSheetId="8">#REF!</definedName>
    <definedName name="ScoRedevIS_C2_C8" localSheetId="9">#REF!</definedName>
    <definedName name="ScoRedevIS_C2_C8" localSheetId="10">#REF!</definedName>
    <definedName name="ScoRedevIS_C2_C8" localSheetId="11">#REF!</definedName>
    <definedName name="ScoRedevIS_C2_C8" localSheetId="12">#REF!</definedName>
    <definedName name="ScoRedevIS_C2_C8" localSheetId="1">#REF!</definedName>
    <definedName name="ScoRedevIS_C2_C8" localSheetId="2">#REF!</definedName>
    <definedName name="ScoRedevIS_C2_C8" localSheetId="3">#REF!</definedName>
    <definedName name="ScoRedevIS_C2_C8" localSheetId="15">#REF!</definedName>
    <definedName name="ScoRedevIS_C2_C8">#REF!</definedName>
    <definedName name="ScoRedevIS_C2_C9">#REF!</definedName>
    <definedName name="ScoRedevIS_C3_C9" localSheetId="4">#REF!</definedName>
    <definedName name="ScoRedevIS_C3_C9" localSheetId="6">#REF!</definedName>
    <definedName name="ScoRedevIS_C3_C9" localSheetId="7">#REF!</definedName>
    <definedName name="ScoRedevIS_C3_C9" localSheetId="8">#REF!</definedName>
    <definedName name="ScoRedevIS_C3_C9" localSheetId="9">#REF!</definedName>
    <definedName name="ScoRedevIS_C3_C9" localSheetId="10">#REF!</definedName>
    <definedName name="ScoRedevIS_C3_C9" localSheetId="11">#REF!</definedName>
    <definedName name="ScoRedevIS_C3_C9" localSheetId="12">#REF!</definedName>
    <definedName name="ScoRedevIS_C3_C9" localSheetId="1">#REF!</definedName>
    <definedName name="ScoRedevIS_C3_C9" localSheetId="2">#REF!</definedName>
    <definedName name="ScoRedevIS_C3_C9" localSheetId="3">#REF!</definedName>
    <definedName name="ScoRedevIS_C3_C9" localSheetId="15">#REF!</definedName>
    <definedName name="ScoRedevIS_C3_C9">#REF!</definedName>
    <definedName name="ScoRedevIS_R11_R52" localSheetId="4">#REF!</definedName>
    <definedName name="ScoRedevIS_R11_R52" localSheetId="6">#REF!</definedName>
    <definedName name="ScoRedevIS_R11_R52" localSheetId="7">#REF!</definedName>
    <definedName name="ScoRedevIS_R11_R52" localSheetId="8">#REF!</definedName>
    <definedName name="ScoRedevIS_R11_R52" localSheetId="9">#REF!</definedName>
    <definedName name="ScoRedevIS_R11_R52" localSheetId="10">#REF!</definedName>
    <definedName name="ScoRedevIS_R11_R52" localSheetId="11">#REF!</definedName>
    <definedName name="ScoRedevIS_R11_R52" localSheetId="12">#REF!</definedName>
    <definedName name="ScoRedevIS_R11_R52" localSheetId="1">#REF!</definedName>
    <definedName name="ScoRedevIS_R11_R52" localSheetId="2">#REF!</definedName>
    <definedName name="ScoRedevIS_R11_R52" localSheetId="3">#REF!</definedName>
    <definedName name="ScoRedevIS_R11_R52" localSheetId="15">#REF!</definedName>
    <definedName name="ScoRedevIS_R11_R52">#REF!</definedName>
    <definedName name="ScoRedevIS_R11_R54">#REF!</definedName>
    <definedName name="ScoRedevIS_R1C1">#REF!</definedName>
    <definedName name="ScoRedevIS_R2C1">#REF!</definedName>
    <definedName name="ScoRedevIS_R3C1">#REF!</definedName>
    <definedName name="ScoRedevIS_R4C1">#REF!</definedName>
    <definedName name="SCOT_BS_C3_C6">#REF!</definedName>
    <definedName name="SCOT_BS_R12_R72">#REF!</definedName>
    <definedName name="SCOT_BS_R12_R73">#REF!</definedName>
    <definedName name="SCOT_BS_R1C1">#REF!</definedName>
    <definedName name="SCOT_BS_R2C1">#REF!</definedName>
    <definedName name="SCOT_BS_R3C1">#REF!</definedName>
    <definedName name="SCOT_IS_C2_C9">#REF!</definedName>
    <definedName name="SCOT_IS_R11_R54">#REF!</definedName>
    <definedName name="SCOT_IS_R1C1">#REF!</definedName>
    <definedName name="SCOT_IS_R2C1">#REF!</definedName>
    <definedName name="SCOT_IS_R3C1">#REF!</definedName>
    <definedName name="SCOTIA_REDEVELOPMENT">#REF!</definedName>
    <definedName name="TBBSREDEV_F_FUDATE">#REF!</definedName>
    <definedName name="TBPLREDEV_C_2_8" localSheetId="4">REDEV '[3]IS'!$A:$H</definedName>
    <definedName name="TBPLREDEV_C_2_8" localSheetId="6">REDEV '[3]IS'!$A:$H</definedName>
    <definedName name="TBPLREDEV_C_2_8" localSheetId="7">REDEV '[3]IS'!$A:$H</definedName>
    <definedName name="TBPLREDEV_C_2_8" localSheetId="8">REDEV '[3]IS'!$A:$H</definedName>
    <definedName name="TBPLREDEV_C_2_8" localSheetId="9">REDEV '[3]IS'!$A:$H</definedName>
    <definedName name="TBPLREDEV_C_2_8" localSheetId="10">REDEV '[3]IS'!$A:$H</definedName>
    <definedName name="TBPLREDEV_C_2_8" localSheetId="11">REDEV '[3]IS'!$A:$H</definedName>
    <definedName name="TBPLREDEV_C_2_8" localSheetId="12">REDEV '[3]IS'!$A:$H</definedName>
    <definedName name="TBPLREDEV_C_2_8" localSheetId="1">REDEV '[3]IS'!$A:$H</definedName>
    <definedName name="TBPLREDEV_C_2_8" localSheetId="2">REDEV '[3]IS'!$A:$H</definedName>
    <definedName name="TBPLREDEV_C_2_8" localSheetId="3">REDEV '[3]IS'!$A:$H</definedName>
    <definedName name="TBPLREDEV_C_2_8" localSheetId="15">REDEV '[3]IS'!$A:$H</definedName>
    <definedName name="TBPLREDEV_C_2_8">REDEV '[3]IS'!$A:$H</definedName>
    <definedName name="TC-1">#REF!</definedName>
    <definedName name="TC-3">#REF!</definedName>
    <definedName name="TC-4">#REF!</definedName>
    <definedName name="TC-5">#REF!</definedName>
    <definedName name="TC-6">#REF!</definedName>
    <definedName name="TC-7">#REF!</definedName>
    <definedName name="TC-8">#REF!</definedName>
    <definedName name="xz" localSheetId="4">'[2]PALCO Con Corp Ad PC 4 '!#REF!</definedName>
    <definedName name="xz" localSheetId="6">'[2]PALCO Con Corp Ad PC 4 '!#REF!</definedName>
    <definedName name="xz" localSheetId="7">'[2]PALCO Con Corp Ad PC 4 '!#REF!</definedName>
    <definedName name="xz" localSheetId="8">'[2]PALCO Con Corp Ad PC 4 '!#REF!</definedName>
    <definedName name="xz" localSheetId="9">'[2]PALCO Con Corp Ad PC 4 '!#REF!</definedName>
    <definedName name="xz" localSheetId="10">'[2]PALCO Con Corp Ad PC 4 '!#REF!</definedName>
    <definedName name="xz" localSheetId="11">'[2]PALCO Con Corp Ad PC 4 '!#REF!</definedName>
    <definedName name="xz" localSheetId="12">'[2]PALCO Con Corp Ad PC 4 '!#REF!</definedName>
    <definedName name="xz" localSheetId="1">'[2]PALCO Con Corp Ad PC 4 '!#REF!</definedName>
    <definedName name="xz" localSheetId="2">'[2]PALCO Con Corp Ad PC 4 '!#REF!</definedName>
    <definedName name="xz" localSheetId="3">'[2]PALCO Con Corp Ad PC 4 '!#REF!</definedName>
    <definedName name="xz" localSheetId="15">'[2]PALCO Con Corp Ad PC 4 '!#REF!</definedName>
    <definedName name="xz">'[2]PALCO Con Corp Ad PC 4 '!#REF!</definedName>
  </definedNames>
  <calcPr fullCalcOnLoad="1"/>
</workbook>
</file>

<file path=xl/sharedStrings.xml><?xml version="1.0" encoding="utf-8"?>
<sst xmlns="http://schemas.openxmlformats.org/spreadsheetml/2006/main" count="603" uniqueCount="129">
  <si>
    <t>Cash &amp; cash equivalents</t>
  </si>
  <si>
    <t>I/C receivables-subsidiaries</t>
  </si>
  <si>
    <t>I/C payables</t>
  </si>
  <si>
    <t>Accrued compensation / benefits</t>
  </si>
  <si>
    <t>Long-term debt, non-current portion</t>
  </si>
  <si>
    <t>Other liabilities, non-current portion</t>
  </si>
  <si>
    <t>Deferred &amp; other income taxes</t>
  </si>
  <si>
    <t>Common stock</t>
  </si>
  <si>
    <t>Prior year retained earnings</t>
  </si>
  <si>
    <t>Net sales:</t>
  </si>
  <si>
    <t>Lumber</t>
  </si>
  <si>
    <t>Logs</t>
  </si>
  <si>
    <t>Town, commercial and other</t>
  </si>
  <si>
    <t>Operating Expenses:</t>
  </si>
  <si>
    <t>Cost of goods sold</t>
  </si>
  <si>
    <t>Division operating income</t>
  </si>
  <si>
    <t>EBITDA</t>
  </si>
  <si>
    <t>EBIT</t>
  </si>
  <si>
    <t>Other income (expenses):</t>
  </si>
  <si>
    <t>Interest and other income</t>
  </si>
  <si>
    <t>Interest expense</t>
  </si>
  <si>
    <t>Income (loss) before income taxes, extraordinary item and cumulative effect</t>
  </si>
  <si>
    <t>Provision for income taxes</t>
  </si>
  <si>
    <t>Income (loss) before extraordinary item and cumulative effect</t>
  </si>
  <si>
    <t>Net income (loss)</t>
  </si>
  <si>
    <t>BALANCE SHEET</t>
  </si>
  <si>
    <t>Receivables</t>
  </si>
  <si>
    <t>Inventories</t>
  </si>
  <si>
    <t>Prepaids</t>
  </si>
  <si>
    <t>December</t>
  </si>
  <si>
    <t>Total</t>
  </si>
  <si>
    <t>PALCO</t>
  </si>
  <si>
    <t>Salmon</t>
  </si>
  <si>
    <t>Creek</t>
  </si>
  <si>
    <t xml:space="preserve">Scotia </t>
  </si>
  <si>
    <t>Pacific</t>
  </si>
  <si>
    <t>Britt</t>
  </si>
  <si>
    <t>Interco.</t>
  </si>
  <si>
    <t>Elimination</t>
  </si>
  <si>
    <t>Consolidated</t>
  </si>
  <si>
    <t>Recreation</t>
  </si>
  <si>
    <t>Center</t>
  </si>
  <si>
    <t>Scotia Inn</t>
  </si>
  <si>
    <t>Deferred financing costs</t>
  </si>
  <si>
    <t>Accounts payable - trade</t>
  </si>
  <si>
    <t>Total liabilities &amp; stockholders' equity</t>
  </si>
  <si>
    <t>Additional paid-in capital</t>
  </si>
  <si>
    <t>Current year income (loss)</t>
  </si>
  <si>
    <t>Total stockholders' equity</t>
  </si>
  <si>
    <t>Total liabilities</t>
  </si>
  <si>
    <t>Total current assets</t>
  </si>
  <si>
    <t>Total assets</t>
  </si>
  <si>
    <t>Current assets</t>
  </si>
  <si>
    <t>Year To Date</t>
  </si>
  <si>
    <t>Property, plant &amp; equipment, net</t>
  </si>
  <si>
    <t>Timber &amp; timberlands, net of depletion</t>
  </si>
  <si>
    <t>Long-term investments &amp; other assets</t>
  </si>
  <si>
    <t>Accrued interest</t>
  </si>
  <si>
    <t>Other accrued liabilities</t>
  </si>
  <si>
    <t>($Thousands)</t>
  </si>
  <si>
    <t>Current liabilities</t>
  </si>
  <si>
    <t>Total current liabilities</t>
  </si>
  <si>
    <t>Stockholders' equity</t>
  </si>
  <si>
    <t xml:space="preserve">CONSOLIDATING STATEMENT OF OPERATIONS </t>
  </si>
  <si>
    <t xml:space="preserve">                    Subtotal</t>
  </si>
  <si>
    <t>MEDFORD LUMBER</t>
  </si>
  <si>
    <t>Forest</t>
  </si>
  <si>
    <t>Co</t>
  </si>
  <si>
    <t>Mill</t>
  </si>
  <si>
    <t>Medford</t>
  </si>
  <si>
    <t>From</t>
  </si>
  <si>
    <t>To</t>
  </si>
  <si>
    <t>Beg Balance</t>
  </si>
  <si>
    <t>Borrowing</t>
  </si>
  <si>
    <t>Repayment</t>
  </si>
  <si>
    <t>End Balance</t>
  </si>
  <si>
    <t>Int Rate</t>
  </si>
  <si>
    <t>Days</t>
  </si>
  <si>
    <t>Medford Lumber</t>
  </si>
  <si>
    <t>Interest</t>
  </si>
  <si>
    <t>Long-term debt, current</t>
  </si>
  <si>
    <t>Principal Payments</t>
  </si>
  <si>
    <t>Ending Balance</t>
  </si>
  <si>
    <t>Net Income</t>
  </si>
  <si>
    <t>Change in current assets and liabilities</t>
  </si>
  <si>
    <t>Cash from Investing Activities</t>
  </si>
  <si>
    <t>Cash from Financing Activities</t>
  </si>
  <si>
    <t>Total net cash inflow (outflow)</t>
  </si>
  <si>
    <t>Cash from Operating Activities</t>
  </si>
  <si>
    <t>Total Interest</t>
  </si>
  <si>
    <t>September</t>
  </si>
  <si>
    <t>Statement of Cash Flows</t>
  </si>
  <si>
    <t>Plus (Minus) Change in cash</t>
  </si>
  <si>
    <t>Beginning Cash Balance</t>
  </si>
  <si>
    <t>Ending Cash Balance</t>
  </si>
  <si>
    <t>Line of Credit</t>
  </si>
  <si>
    <t>Long-term debt</t>
  </si>
  <si>
    <t>Depreciation, depletion and amortization</t>
  </si>
  <si>
    <t>SG&amp;A</t>
  </si>
  <si>
    <t/>
  </si>
  <si>
    <t>Accrued Interest</t>
  </si>
  <si>
    <t>In thousands</t>
  </si>
  <si>
    <t>Amounts in ($)</t>
  </si>
  <si>
    <t>In Thousands</t>
  </si>
  <si>
    <t>ForestCo</t>
  </si>
  <si>
    <t>MillCo</t>
  </si>
  <si>
    <t>HoldCo</t>
  </si>
  <si>
    <t>Interest Expense</t>
  </si>
  <si>
    <t>2016</t>
  </si>
  <si>
    <t>Depreciation &amp; amortization</t>
  </si>
  <si>
    <t>Capital expenditures</t>
  </si>
  <si>
    <t>MLC Revolver</t>
  </si>
  <si>
    <t>Unused Commitment</t>
  </si>
  <si>
    <t>Beginning Balance</t>
  </si>
  <si>
    <t>Draws</t>
  </si>
  <si>
    <t>Repayments</t>
  </si>
  <si>
    <t>Unused Fee</t>
  </si>
  <si>
    <t>Total Interest and fees</t>
  </si>
  <si>
    <t>LIBOR</t>
  </si>
  <si>
    <t>Interest Rate</t>
  </si>
  <si>
    <t>Unused fee</t>
  </si>
  <si>
    <t>Forestco Bonds</t>
  </si>
  <si>
    <t>2017</t>
  </si>
  <si>
    <t>2018</t>
  </si>
  <si>
    <t>2019</t>
  </si>
  <si>
    <r>
      <t xml:space="preserve">2015 - </t>
    </r>
    <r>
      <rPr>
        <b/>
        <u val="single"/>
        <sz val="9"/>
        <rFont val="Arial"/>
        <family val="2"/>
      </rPr>
      <t>Starting Point for CF Purposes Only</t>
    </r>
  </si>
  <si>
    <t>Issuances</t>
  </si>
  <si>
    <t>Agreement Dated 4/1/1997</t>
  </si>
  <si>
    <t>Note Amortization Schedule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</si>
</sst>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[$$-409]* #,##0_);_([$$-409]* \(#,##0\);_([$$-409]* &quot;-&quot;_);_(@_)"/>
    <numFmt numFmtId="166" formatCode="&quot;$&quot;#,##0"/>
    <numFmt numFmtId="167" formatCode="0;[Red]0"/>
    <numFmt numFmtId="168" formatCode="_(* #,##0_)&quot;/M&quot;;[Red]_(* \(#,##0\)&quot;/M&quot;;_(* &quot;-&quot;_);_(@_)"/>
    <numFmt numFmtId="169" formatCode="_(* #,##0_)&quot;/MBF&quot;;[Red]_(* \(#,##0\)&quot;/MBF&quot;;_(* &quot;-&quot;_);_(@_)"/>
    <numFmt numFmtId="170" formatCode="[$-409]d\-mmm\-yy;@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.000%"/>
    <numFmt numFmtId="175" formatCode="_(* #,##0.0000000000000_);_(* \(#,##0.0000000000000\);_(* &quot;-&quot;??_);_(@_)"/>
    <numFmt numFmtId="176" formatCode="m/d/yy;@"/>
    <numFmt numFmtId="177" formatCode="0.0%"/>
    <numFmt numFmtId="178" formatCode="_(* #,##0.0_);_(* \(#,##0.0\);_(* &quot;-&quot;?_);_(@_)"/>
    <numFmt numFmtId="179" formatCode="_(&quot;$&quot;* #,##0.0_);_(&quot;$&quot;* \(#,##0.0\);_(&quot;$&quot;* &quot;-&quot;??_);_(@_)"/>
    <numFmt numFmtId="180" formatCode="[$-409]dddd\,\ mmmm\ dd\,\ yyyy"/>
    <numFmt numFmtId="181" formatCode="0.0000%"/>
    <numFmt numFmtId="182" formatCode="0.00000%"/>
    <numFmt numFmtId="183" formatCode="_(* #,##0.000_);_(* \(#,##0.000\);_(* &quot;-&quot;???_);_(@_)"/>
    <numFmt numFmtId="184" formatCode="_([$$-409]* #,##0.00000_);_([$$-409]* \(#,##0.00000\);_([$$-409]* &quot;-&quot;?????_);_(@_)"/>
    <numFmt numFmtId="185" formatCode="_(* #,##0.00000_);_(* \(#,##0.00000\);_(* &quot;-&quot;?????_);_(@_)"/>
    <numFmt numFmtId="186" formatCode="_(* #,##0.0000_);_(* \(#,##0.0000\);_(* &quot;-&quot;????_);_(@_)"/>
    <numFmt numFmtId="187" formatCode="_(* #,##0.0000000000_);_(* \(#,##0.0000000000\);_(* &quot;-&quot;??????????_);_(@_)"/>
    <numFmt numFmtId="188" formatCode="_(* #,##0.000_);_(* \(#,##0.000\);_(* &quot;-&quot;??_);_(@_)"/>
    <numFmt numFmtId="189" formatCode="mmm\-yyyy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[$$-409]* #,##0.0_);_([$$-409]* \(#,##0.0\);_([$$-409]* &quot;-&quot;?_);_(@_)"/>
    <numFmt numFmtId="196" formatCode="[$-409]mmm\-yy;@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Arial Narrow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10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sz val="9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8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168" fontId="8" fillId="0" borderId="0" applyFont="0" applyFill="0" applyBorder="0" applyProtection="0">
      <alignment/>
    </xf>
    <xf numFmtId="169" fontId="8" fillId="0" borderId="0" applyFont="0" applyFill="0" applyBorder="0" applyProtection="0">
      <alignment/>
    </xf>
    <xf numFmtId="0" fontId="48" fillId="31" borderId="0" applyNumberFormat="0" applyBorder="0" applyAlignment="0" applyProtection="0"/>
    <xf numFmtId="167" fontId="8" fillId="0" borderId="0" applyFont="0" applyFill="0" applyBorder="0" applyProtection="0">
      <alignment horizontal="center"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42" fontId="6" fillId="0" borderId="0" xfId="0" applyNumberFormat="1" applyFont="1" applyAlignment="1">
      <alignment/>
    </xf>
    <xf numFmtId="41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4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0" xfId="0" applyNumberFormat="1" applyFont="1" applyFill="1" applyAlignment="1">
      <alignment/>
    </xf>
    <xf numFmtId="41" fontId="6" fillId="0" borderId="12" xfId="0" applyNumberFormat="1" applyFont="1" applyBorder="1" applyAlignment="1">
      <alignment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left" wrapText="1" indent="7"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/>
    </xf>
    <xf numFmtId="42" fontId="5" fillId="0" borderId="14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5" fillId="0" borderId="0" xfId="0" applyFont="1" applyAlignment="1">
      <alignment wrapText="1"/>
    </xf>
    <xf numFmtId="42" fontId="5" fillId="0" borderId="14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/>
    </xf>
    <xf numFmtId="41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5" fontId="5" fillId="0" borderId="1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1" fontId="5" fillId="0" borderId="12" xfId="0" applyNumberFormat="1" applyFont="1" applyFill="1" applyBorder="1" applyAlignment="1">
      <alignment/>
    </xf>
    <xf numFmtId="42" fontId="5" fillId="0" borderId="14" xfId="0" applyNumberFormat="1" applyFont="1" applyFill="1" applyBorder="1" applyAlignment="1">
      <alignment/>
    </xf>
    <xf numFmtId="4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72" fontId="6" fillId="0" borderId="0" xfId="42" applyNumberFormat="1" applyFont="1" applyAlignment="1">
      <alignment/>
    </xf>
    <xf numFmtId="171" fontId="6" fillId="0" borderId="0" xfId="42" applyNumberFormat="1" applyFont="1" applyAlignment="1">
      <alignment/>
    </xf>
    <xf numFmtId="172" fontId="6" fillId="0" borderId="0" xfId="42" applyNumberFormat="1" applyFont="1" applyAlignment="1">
      <alignment/>
    </xf>
    <xf numFmtId="173" fontId="6" fillId="0" borderId="0" xfId="46" applyNumberFormat="1" applyFont="1" applyAlignment="1">
      <alignment/>
    </xf>
    <xf numFmtId="0" fontId="0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Font="1">
      <alignment/>
      <protection/>
    </xf>
    <xf numFmtId="172" fontId="11" fillId="0" borderId="0" xfId="44" applyNumberFormat="1" applyFont="1" applyAlignment="1">
      <alignment horizontal="center"/>
    </xf>
    <xf numFmtId="172" fontId="0" fillId="0" borderId="0" xfId="44" applyNumberFormat="1" applyFont="1" applyAlignment="1">
      <alignment/>
    </xf>
    <xf numFmtId="14" fontId="0" fillId="0" borderId="0" xfId="66" applyNumberFormat="1">
      <alignment/>
      <protection/>
    </xf>
    <xf numFmtId="14" fontId="1" fillId="0" borderId="0" xfId="66" applyNumberFormat="1" applyFont="1">
      <alignment/>
      <protection/>
    </xf>
    <xf numFmtId="172" fontId="0" fillId="0" borderId="0" xfId="66" applyNumberFormat="1">
      <alignment/>
      <protection/>
    </xf>
    <xf numFmtId="43" fontId="0" fillId="0" borderId="0" xfId="66" applyNumberFormat="1">
      <alignment/>
      <protection/>
    </xf>
    <xf numFmtId="0" fontId="0" fillId="0" borderId="0" xfId="66" applyBorder="1">
      <alignment/>
      <protection/>
    </xf>
    <xf numFmtId="0" fontId="12" fillId="0" borderId="0" xfId="65">
      <alignment/>
      <protection/>
    </xf>
    <xf numFmtId="172" fontId="6" fillId="0" borderId="0" xfId="42" applyNumberFormat="1" applyFont="1" applyBorder="1" applyAlignment="1">
      <alignment/>
    </xf>
    <xf numFmtId="175" fontId="5" fillId="0" borderId="0" xfId="42" applyNumberFormat="1" applyFont="1" applyBorder="1" applyAlignment="1">
      <alignment/>
    </xf>
    <xf numFmtId="43" fontId="0" fillId="0" borderId="0" xfId="45" applyFont="1" applyAlignment="1">
      <alignment/>
    </xf>
    <xf numFmtId="43" fontId="2" fillId="0" borderId="0" xfId="45" applyFont="1" applyAlignment="1">
      <alignment/>
    </xf>
    <xf numFmtId="177" fontId="6" fillId="0" borderId="0" xfId="71" applyNumberFormat="1" applyFont="1" applyAlignment="1">
      <alignment/>
    </xf>
    <xf numFmtId="165" fontId="53" fillId="0" borderId="0" xfId="0" applyNumberFormat="1" applyFont="1" applyAlignment="1">
      <alignment/>
    </xf>
    <xf numFmtId="41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2" fontId="53" fillId="0" borderId="0" xfId="42" applyNumberFormat="1" applyFont="1" applyAlignment="1">
      <alignment/>
    </xf>
    <xf numFmtId="41" fontId="54" fillId="0" borderId="12" xfId="0" applyNumberFormat="1" applyFont="1" applyFill="1" applyBorder="1" applyAlignment="1">
      <alignment/>
    </xf>
    <xf numFmtId="41" fontId="53" fillId="0" borderId="0" xfId="0" applyNumberFormat="1" applyFont="1" applyFill="1" applyBorder="1" applyAlignment="1">
      <alignment/>
    </xf>
    <xf numFmtId="42" fontId="54" fillId="0" borderId="14" xfId="0" applyNumberFormat="1" applyFont="1" applyBorder="1" applyAlignment="1">
      <alignment/>
    </xf>
    <xf numFmtId="165" fontId="53" fillId="0" borderId="0" xfId="0" applyNumberFormat="1" applyFont="1" applyFill="1" applyAlignment="1">
      <alignment/>
    </xf>
    <xf numFmtId="173" fontId="53" fillId="0" borderId="0" xfId="46" applyNumberFormat="1" applyFont="1" applyAlignment="1">
      <alignment/>
    </xf>
    <xf numFmtId="41" fontId="54" fillId="0" borderId="12" xfId="0" applyNumberFormat="1" applyFont="1" applyBorder="1" applyAlignment="1">
      <alignment/>
    </xf>
    <xf numFmtId="41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1" fontId="53" fillId="0" borderId="0" xfId="0" applyNumberFormat="1" applyFont="1" applyAlignment="1">
      <alignment/>
    </xf>
    <xf numFmtId="165" fontId="54" fillId="0" borderId="13" xfId="0" applyNumberFormat="1" applyFont="1" applyBorder="1" applyAlignment="1">
      <alignment/>
    </xf>
    <xf numFmtId="0" fontId="53" fillId="0" borderId="0" xfId="0" applyFont="1" applyBorder="1" applyAlignment="1">
      <alignment/>
    </xf>
    <xf numFmtId="176" fontId="0" fillId="0" borderId="0" xfId="45" applyNumberFormat="1" applyFont="1" applyAlignment="1">
      <alignment/>
    </xf>
    <xf numFmtId="43" fontId="0" fillId="0" borderId="11" xfId="45" applyFont="1" applyBorder="1" applyAlignment="1">
      <alignment/>
    </xf>
    <xf numFmtId="14" fontId="2" fillId="0" borderId="10" xfId="45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45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5" applyNumberFormat="1" applyFont="1" applyBorder="1" applyAlignment="1">
      <alignment horizontal="center"/>
    </xf>
    <xf numFmtId="43" fontId="0" fillId="0" borderId="0" xfId="45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45" applyNumberFormat="1" applyFont="1" applyBorder="1" applyAlignment="1">
      <alignment horizontal="center"/>
    </xf>
    <xf numFmtId="43" fontId="0" fillId="0" borderId="10" xfId="45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66" applyFont="1" applyBorder="1" applyAlignment="1">
      <alignment horizontal="center"/>
      <protection/>
    </xf>
    <xf numFmtId="0" fontId="7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73" fontId="6" fillId="0" borderId="0" xfId="46" applyNumberFormat="1" applyFont="1" applyAlignment="1">
      <alignment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left" wrapText="1" indent="7"/>
    </xf>
    <xf numFmtId="172" fontId="6" fillId="0" borderId="0" xfId="42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171" fontId="0" fillId="0" borderId="0" xfId="66" applyNumberFormat="1">
      <alignment/>
      <protection/>
    </xf>
    <xf numFmtId="171" fontId="0" fillId="0" borderId="0" xfId="0" applyNumberFormat="1" applyAlignment="1">
      <alignment/>
    </xf>
    <xf numFmtId="182" fontId="0" fillId="0" borderId="0" xfId="66" applyNumberFormat="1">
      <alignment/>
      <protection/>
    </xf>
    <xf numFmtId="174" fontId="0" fillId="0" borderId="0" xfId="72" applyNumberFormat="1" applyFont="1" applyFill="1" applyAlignment="1">
      <alignment/>
    </xf>
    <xf numFmtId="0" fontId="0" fillId="0" borderId="0" xfId="66" applyFill="1">
      <alignment/>
      <protection/>
    </xf>
    <xf numFmtId="171" fontId="11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Border="1" applyAlignment="1">
      <alignment/>
    </xf>
    <xf numFmtId="171" fontId="12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12" fillId="0" borderId="0" xfId="65" applyFont="1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 horizontal="center"/>
    </xf>
    <xf numFmtId="0" fontId="55" fillId="0" borderId="0" xfId="66" applyFont="1">
      <alignment/>
      <protection/>
    </xf>
    <xf numFmtId="171" fontId="55" fillId="0" borderId="0" xfId="42" applyNumberFormat="1" applyFont="1" applyAlignment="1">
      <alignment/>
    </xf>
    <xf numFmtId="41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72" fontId="57" fillId="0" borderId="0" xfId="42" applyNumberFormat="1" applyFont="1" applyAlignment="1">
      <alignment/>
    </xf>
    <xf numFmtId="172" fontId="57" fillId="0" borderId="0" xfId="42" applyNumberFormat="1" applyFont="1" applyFill="1" applyBorder="1" applyAlignment="1">
      <alignment/>
    </xf>
    <xf numFmtId="172" fontId="57" fillId="0" borderId="0" xfId="42" applyNumberFormat="1" applyFont="1" applyFill="1" applyAlignment="1">
      <alignment/>
    </xf>
    <xf numFmtId="172" fontId="57" fillId="0" borderId="0" xfId="42" applyNumberFormat="1" applyFont="1" applyBorder="1" applyAlignment="1">
      <alignment/>
    </xf>
    <xf numFmtId="171" fontId="2" fillId="0" borderId="0" xfId="42" applyNumberFormat="1" applyFont="1" applyAlignment="1">
      <alignment/>
    </xf>
    <xf numFmtId="172" fontId="6" fillId="0" borderId="0" xfId="42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4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43" fontId="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10" fontId="0" fillId="0" borderId="0" xfId="71" applyNumberFormat="1" applyFont="1" applyAlignment="1">
      <alignment/>
    </xf>
    <xf numFmtId="10" fontId="0" fillId="0" borderId="0" xfId="72" applyNumberFormat="1" applyFont="1" applyAlignment="1">
      <alignment/>
    </xf>
    <xf numFmtId="0" fontId="0" fillId="0" borderId="0" xfId="66" applyFont="1" applyBorder="1" applyAlignment="1">
      <alignment horizontal="center"/>
      <protection/>
    </xf>
    <xf numFmtId="14" fontId="2" fillId="0" borderId="0" xfId="66" applyNumberFormat="1" applyFont="1">
      <alignment/>
      <protection/>
    </xf>
    <xf numFmtId="0" fontId="2" fillId="0" borderId="0" xfId="66" applyFont="1">
      <alignment/>
      <protection/>
    </xf>
    <xf numFmtId="10" fontId="2" fillId="0" borderId="0" xfId="72" applyNumberFormat="1" applyFont="1" applyAlignment="1">
      <alignment/>
    </xf>
    <xf numFmtId="172" fontId="2" fillId="0" borderId="0" xfId="44" applyNumberFormat="1" applyFont="1" applyAlignment="1">
      <alignment/>
    </xf>
    <xf numFmtId="172" fontId="5" fillId="0" borderId="0" xfId="42" applyNumberFormat="1" applyFont="1" applyAlignment="1">
      <alignment horizontal="center"/>
    </xf>
    <xf numFmtId="172" fontId="6" fillId="0" borderId="12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72" fontId="5" fillId="0" borderId="11" xfId="42" applyNumberFormat="1" applyFont="1" applyBorder="1" applyAlignment="1">
      <alignment/>
    </xf>
    <xf numFmtId="172" fontId="53" fillId="0" borderId="0" xfId="42" applyNumberFormat="1" applyFont="1" applyFill="1" applyAlignment="1">
      <alignment/>
    </xf>
    <xf numFmtId="173" fontId="57" fillId="0" borderId="0" xfId="46" applyNumberFormat="1" applyFont="1" applyAlignment="1">
      <alignment/>
    </xf>
    <xf numFmtId="173" fontId="53" fillId="0" borderId="0" xfId="46" applyNumberFormat="1" applyFont="1" applyFill="1" applyAlignment="1">
      <alignment/>
    </xf>
    <xf numFmtId="172" fontId="6" fillId="0" borderId="0" xfId="42" applyNumberFormat="1" applyFont="1" applyFill="1" applyAlignment="1">
      <alignment/>
    </xf>
    <xf numFmtId="172" fontId="5" fillId="0" borderId="12" xfId="42" applyNumberFormat="1" applyFont="1" applyFill="1" applyBorder="1" applyAlignment="1">
      <alignment/>
    </xf>
    <xf numFmtId="172" fontId="5" fillId="0" borderId="12" xfId="42" applyNumberFormat="1" applyFont="1" applyBorder="1" applyAlignment="1">
      <alignment/>
    </xf>
    <xf numFmtId="173" fontId="6" fillId="0" borderId="0" xfId="46" applyNumberFormat="1" applyFont="1" applyFill="1" applyAlignment="1">
      <alignment/>
    </xf>
    <xf numFmtId="179" fontId="6" fillId="0" borderId="0" xfId="46" applyNumberFormat="1" applyFont="1" applyAlignment="1">
      <alignment/>
    </xf>
    <xf numFmtId="173" fontId="5" fillId="0" borderId="14" xfId="46" applyNumberFormat="1" applyFont="1" applyBorder="1" applyAlignment="1">
      <alignment/>
    </xf>
    <xf numFmtId="172" fontId="5" fillId="0" borderId="0" xfId="42" applyNumberFormat="1" applyFont="1" applyAlignment="1">
      <alignment horizontal="center"/>
    </xf>
    <xf numFmtId="172" fontId="5" fillId="0" borderId="10" xfId="42" applyNumberFormat="1" applyFont="1" applyBorder="1" applyAlignment="1">
      <alignment horizontal="center"/>
    </xf>
    <xf numFmtId="172" fontId="6" fillId="0" borderId="0" xfId="42" applyNumberFormat="1" applyFont="1" applyFill="1" applyBorder="1" applyAlignment="1">
      <alignment/>
    </xf>
    <xf numFmtId="172" fontId="6" fillId="0" borderId="11" xfId="42" applyNumberFormat="1" applyFont="1" applyBorder="1" applyAlignment="1">
      <alignment/>
    </xf>
    <xf numFmtId="172" fontId="6" fillId="0" borderId="14" xfId="42" applyNumberFormat="1" applyFont="1" applyBorder="1" applyAlignment="1">
      <alignment/>
    </xf>
    <xf numFmtId="173" fontId="6" fillId="0" borderId="11" xfId="46" applyNumberFormat="1" applyFont="1" applyBorder="1" applyAlignment="1">
      <alignment/>
    </xf>
    <xf numFmtId="172" fontId="5" fillId="0" borderId="10" xfId="42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181" fontId="0" fillId="0" borderId="0" xfId="0" applyNumberFormat="1" applyAlignment="1">
      <alignment/>
    </xf>
    <xf numFmtId="10" fontId="0" fillId="0" borderId="0" xfId="71" applyNumberFormat="1" applyFont="1" applyAlignment="1">
      <alignment/>
    </xf>
    <xf numFmtId="171" fontId="2" fillId="0" borderId="0" xfId="66" applyNumberFormat="1" applyFont="1">
      <alignment/>
      <protection/>
    </xf>
    <xf numFmtId="178" fontId="0" fillId="0" borderId="0" xfId="66" applyNumberFormat="1">
      <alignment/>
      <protection/>
    </xf>
    <xf numFmtId="17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42" fontId="6" fillId="0" borderId="0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0" xfId="66" applyFont="1" applyBorder="1">
      <alignment/>
      <protection/>
    </xf>
    <xf numFmtId="171" fontId="2" fillId="0" borderId="0" xfId="42" applyNumberFormat="1" applyFont="1" applyBorder="1" applyAlignment="1">
      <alignment/>
    </xf>
    <xf numFmtId="14" fontId="13" fillId="0" borderId="0" xfId="66" applyNumberFormat="1" applyFont="1">
      <alignment/>
      <protection/>
    </xf>
    <xf numFmtId="178" fontId="2" fillId="0" borderId="0" xfId="66" applyNumberFormat="1" applyFont="1">
      <alignment/>
      <protection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9" fillId="0" borderId="19" xfId="66" applyFont="1" applyBorder="1" applyAlignment="1">
      <alignment horizontal="center"/>
      <protection/>
    </xf>
    <xf numFmtId="0" fontId="9" fillId="0" borderId="0" xfId="66" applyFont="1" applyBorder="1" applyAlignment="1">
      <alignment horizontal="center"/>
      <protection/>
    </xf>
    <xf numFmtId="0" fontId="9" fillId="0" borderId="20" xfId="66" applyFont="1" applyBorder="1" applyAlignment="1">
      <alignment horizontal="center"/>
      <protection/>
    </xf>
    <xf numFmtId="0" fontId="10" fillId="0" borderId="21" xfId="66" applyFont="1" applyBorder="1" applyAlignment="1">
      <alignment horizontal="center"/>
      <protection/>
    </xf>
    <xf numFmtId="0" fontId="10" fillId="0" borderId="13" xfId="66" applyFont="1" applyBorder="1" applyAlignment="1">
      <alignment horizontal="center"/>
      <protection/>
    </xf>
    <xf numFmtId="0" fontId="10" fillId="0" borderId="22" xfId="66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Date - Long" xfId="49"/>
    <cellStyle name="Date - Short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" xfId="61"/>
    <cellStyle name="MBF" xfId="62"/>
    <cellStyle name="Neutral" xfId="63"/>
    <cellStyle name="No. Doo-Dads" xfId="64"/>
    <cellStyle name="Normal 2" xfId="65"/>
    <cellStyle name="Normal_Dip Financingv5" xfId="66"/>
    <cellStyle name="Note" xfId="67"/>
    <cellStyle name="Output" xfId="68"/>
    <cellStyle name="Pct - 0%" xfId="69"/>
    <cellStyle name="Pct - 0.00%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biworld.org/FINANCIALS\COMBDE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biworld.org/Documents%20and%20Settings\sedmiston\My%20Documents\Data\Hold\MGI_CONS_FIN_STMTS_MAY05-#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IM"/>
      <sheetName val="BRITT"/>
      <sheetName val="PALCO_BRT"/>
      <sheetName val="PALCO"/>
      <sheetName val="SCO"/>
      <sheetName val="SALCRCONS"/>
      <sheetName val="SALCRK"/>
      <sheetName val="LAHCONS"/>
      <sheetName val="LAH"/>
      <sheetName val="LAW"/>
      <sheetName val="LAA"/>
      <sheetName val="LAK"/>
      <sheetName val="BELTWAY"/>
      <sheetName val="MOTEL 6"/>
      <sheetName val="SCOTIA INN"/>
      <sheetName val="P"/>
      <sheetName val="cshflw"/>
      <sheetName val="PALCO &amp; BRITT"/>
      <sheetName val="S"/>
      <sheetName val="T"/>
    </sheetNames>
    <sheetDataSet>
      <sheetData sheetId="1">
        <row r="13">
          <cell r="Y13">
            <v>210.96995</v>
          </cell>
        </row>
        <row r="18">
          <cell r="Y18">
            <v>2865.31704</v>
          </cell>
        </row>
        <row r="45">
          <cell r="Y45">
            <v>0</v>
          </cell>
        </row>
        <row r="46">
          <cell r="Y46">
            <v>116.47236</v>
          </cell>
        </row>
        <row r="48">
          <cell r="Y48">
            <v>0</v>
          </cell>
        </row>
        <row r="129">
          <cell r="AC129">
            <v>981.194</v>
          </cell>
        </row>
        <row r="165">
          <cell r="AC165">
            <v>3735.795090000007</v>
          </cell>
        </row>
      </sheetData>
      <sheetData sheetId="2">
        <row r="128">
          <cell r="AC128">
            <v>8769</v>
          </cell>
        </row>
      </sheetData>
      <sheetData sheetId="3">
        <row r="18">
          <cell r="Y18">
            <v>19515</v>
          </cell>
        </row>
        <row r="33">
          <cell r="Y33">
            <v>-435015</v>
          </cell>
        </row>
        <row r="45">
          <cell r="Y45">
            <v>13228</v>
          </cell>
        </row>
        <row r="47">
          <cell r="Y47">
            <v>25</v>
          </cell>
        </row>
        <row r="49">
          <cell r="Y49">
            <v>14432</v>
          </cell>
        </row>
        <row r="50">
          <cell r="Y50">
            <v>0</v>
          </cell>
        </row>
        <row r="52">
          <cell r="Y52">
            <v>13056</v>
          </cell>
        </row>
        <row r="53">
          <cell r="Y53">
            <v>125</v>
          </cell>
        </row>
        <row r="54">
          <cell r="Y54">
            <v>5807</v>
          </cell>
        </row>
        <row r="58">
          <cell r="Y58">
            <v>135</v>
          </cell>
        </row>
        <row r="129">
          <cell r="AC129">
            <v>7803</v>
          </cell>
        </row>
        <row r="138">
          <cell r="AC138">
            <v>48</v>
          </cell>
        </row>
        <row r="143">
          <cell r="AC143">
            <v>-306</v>
          </cell>
        </row>
        <row r="164">
          <cell r="AC164">
            <v>-49091.19008999999</v>
          </cell>
        </row>
      </sheetData>
      <sheetData sheetId="4">
        <row r="59">
          <cell r="Y59">
            <v>226</v>
          </cell>
        </row>
        <row r="127">
          <cell r="AC127">
            <v>7916</v>
          </cell>
        </row>
        <row r="143">
          <cell r="AC143">
            <v>-1322</v>
          </cell>
        </row>
        <row r="164">
          <cell r="AC164">
            <v>-19758.18411999999</v>
          </cell>
        </row>
      </sheetData>
      <sheetData sheetId="6">
        <row r="59">
          <cell r="Y59">
            <v>19977</v>
          </cell>
        </row>
        <row r="164">
          <cell r="AC164">
            <v>-1408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_IS"/>
      <sheetName val="PL_BS"/>
      <sheetName val="SCO_IS"/>
      <sheetName val="SCO_BS"/>
      <sheetName val="SAL_IS"/>
      <sheetName val="SAL_BS"/>
      <sheetName val="MGI_IS"/>
      <sheetName val="MGI_BS"/>
      <sheetName val="SCOT_IS"/>
      <sheetName val="SCOT_BS"/>
      <sheetName val="REC_IS"/>
      <sheetName val="REC_BS"/>
      <sheetName val="PRINT"/>
      <sheetName val="MGI CONS"/>
      <sheetName val="ELIMMGI"/>
      <sheetName val="MGI"/>
      <sheetName val="FPO"/>
      <sheetName val="ELIMFPO"/>
      <sheetName val="PALCO"/>
      <sheetName val="BRITT"/>
      <sheetName val="ELIMPL"/>
      <sheetName val="SCOPAC"/>
      <sheetName val="SALMON"/>
      <sheetName val="SCOTIA INN"/>
      <sheetName val="REC CENTER"/>
      <sheetName val="Tbl Contents"/>
      <sheetName val="CMG Fin Sum ES-1"/>
      <sheetName val="CMG Cash Flow ES-2"/>
      <sheetName val="CMG Cash Flow YTD ES-3"/>
      <sheetName val="CMG Bal Sht ES-4"/>
      <sheetName val="MGI Con Stmt Op M-1"/>
      <sheetName val="MGI Cmb Stmt Op M-2"/>
      <sheetName val="MGI Cmb Stmt Op YTD M-3"/>
      <sheetName val="MGI Cmb Bal Sheet M-4"/>
      <sheetName val="PALCO Con Stmt Op PC-1"/>
      <sheetName val="PALCO Con Sell PC-2"/>
      <sheetName val="PALCO Con G&amp;A PC-3"/>
      <sheetName val="PALCO Con Corp Ad PC 4 "/>
      <sheetName val="PALCO Con Stmt Op PC-5"/>
      <sheetName val="PALCO Con Stmt Op YTD PC-6"/>
      <sheetName val="PALCO Con Bal Sht PC-7"/>
      <sheetName val="PALCO Con Historical PC-8"/>
      <sheetName val="PALCO Cap Exp PC-9"/>
      <sheetName val="PL Stmt Op PAL-1"/>
      <sheetName val="PL Stmt Op YTD PAL-2"/>
      <sheetName val="PL Bal Sheet PAL-3"/>
      <sheetName val="SCOPAC Stmt Op SP-1"/>
      <sheetName val="SCOPAC Bal Sheet SP-3"/>
      <sheetName val="BRITT Stmt Op B-1"/>
      <sheetName val="BRITT Corp Exp B-2"/>
      <sheetName val="BRITT BS B-3"/>
      <sheetName val="P &amp; B S Stmt Op PB-1 &amp; PB-2"/>
      <sheetName val="P &amp; B Stmt Op PB-3"/>
      <sheetName val="P &amp; B Stmt Op YTD PB-4"/>
      <sheetName val="P &amp; B Bal Sheet PB-5"/>
      <sheetName val="SPEC PURP CASH FLW PB-6"/>
      <sheetName val="SPEC PURP CASH FLW YTD PB-7 "/>
      <sheetName val="Logs"/>
      <sheetName val="Qtrly Cash Flow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B1:AN253"/>
  <sheetViews>
    <sheetView zoomScalePageLayoutView="0" workbookViewId="0" topLeftCell="A1">
      <pane xSplit="4" ySplit="9" topLeftCell="E31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I42" sqref="I42"/>
    </sheetView>
  </sheetViews>
  <sheetFormatPr defaultColWidth="9.140625" defaultRowHeight="12.75"/>
  <cols>
    <col min="1" max="1" width="1.57421875" style="2" customWidth="1"/>
    <col min="2" max="2" width="39.140625" style="2" customWidth="1"/>
    <col min="3" max="3" width="10.57421875" style="2" hidden="1" customWidth="1"/>
    <col min="4" max="4" width="2.57421875" style="2" customWidth="1"/>
    <col min="5" max="5" width="11.57421875" style="2" customWidth="1"/>
    <col min="6" max="6" width="0.85546875" style="2" customWidth="1"/>
    <col min="7" max="7" width="11.57421875" style="2" customWidth="1"/>
    <col min="8" max="8" width="0.85546875" style="2" customWidth="1"/>
    <col min="9" max="9" width="10.57421875" style="67" bestFit="1" customWidth="1"/>
    <col min="10" max="10" width="0.85546875" style="2" customWidth="1"/>
    <col min="11" max="11" width="11.57421875" style="2" customWidth="1"/>
    <col min="12" max="12" width="0.85546875" style="2" customWidth="1"/>
    <col min="13" max="13" width="11.57421875" style="2" customWidth="1"/>
    <col min="14" max="14" width="1.57421875" style="3" customWidth="1"/>
    <col min="15" max="15" width="14.00390625" style="3" customWidth="1"/>
    <col min="16" max="16" width="4.421875" style="3" customWidth="1"/>
    <col min="17" max="17" width="18.8515625" style="3" hidden="1" customWidth="1"/>
    <col min="18" max="18" width="4.00390625" style="3" hidden="1" customWidth="1"/>
    <col min="19" max="19" width="15.421875" style="3" hidden="1" customWidth="1"/>
    <col min="20" max="32" width="0" style="2" hidden="1" customWidth="1"/>
    <col min="33" max="33" width="3.57421875" style="2" hidden="1" customWidth="1"/>
    <col min="34" max="34" width="0" style="2" hidden="1" customWidth="1"/>
    <col min="35" max="35" width="3.57421875" style="2" hidden="1" customWidth="1"/>
    <col min="36" max="36" width="0" style="2" hidden="1" customWidth="1"/>
    <col min="37" max="37" width="3.57421875" style="2" hidden="1" customWidth="1"/>
    <col min="38" max="38" width="0" style="2" hidden="1" customWidth="1"/>
    <col min="39" max="39" width="3.57421875" style="2" hidden="1" customWidth="1"/>
    <col min="40" max="40" width="0" style="2" hidden="1" customWidth="1"/>
    <col min="41" max="41" width="3.57421875" style="2" hidden="1" customWidth="1"/>
    <col min="42" max="16384" width="9.140625" style="2" customWidth="1"/>
  </cols>
  <sheetData>
    <row r="1" spans="2:20" ht="12.75" customHeigh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6"/>
      <c r="O1" s="6"/>
      <c r="P1" s="6"/>
      <c r="Q1" s="6"/>
      <c r="R1" s="6"/>
      <c r="S1" s="6"/>
      <c r="T1" s="11"/>
    </row>
    <row r="2" spans="2:20" ht="12.75" customHeight="1">
      <c r="B2" s="212" t="s">
        <v>63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"/>
      <c r="O2" s="6"/>
      <c r="P2" s="6"/>
      <c r="Q2" s="6"/>
      <c r="R2" s="6"/>
      <c r="S2" s="6"/>
      <c r="T2" s="11"/>
    </row>
    <row r="3" spans="2:20" ht="12.75" customHeight="1">
      <c r="B3" s="212" t="s">
        <v>53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6"/>
      <c r="O3" s="6"/>
      <c r="P3" s="6"/>
      <c r="Q3" s="6"/>
      <c r="R3" s="6"/>
      <c r="S3" s="6"/>
      <c r="T3" s="11"/>
    </row>
    <row r="4" spans="2:20" ht="12.75" customHeight="1">
      <c r="B4" s="213" t="s">
        <v>29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64"/>
      <c r="O4" s="64"/>
      <c r="P4" s="64"/>
      <c r="Q4" s="64"/>
      <c r="R4" s="64"/>
      <c r="S4" s="64"/>
      <c r="T4" s="62"/>
    </row>
    <row r="5" spans="2:20" ht="12.75" customHeight="1">
      <c r="B5" s="214" t="s">
        <v>108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65"/>
      <c r="O5" s="65"/>
      <c r="P5" s="65"/>
      <c r="Q5" s="65"/>
      <c r="R5" s="65"/>
      <c r="S5" s="65"/>
      <c r="T5" s="63"/>
    </row>
    <row r="6" spans="2:20" ht="12.75" customHeight="1">
      <c r="B6" s="215" t="s">
        <v>59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66"/>
      <c r="O6" s="66"/>
      <c r="P6" s="66"/>
      <c r="Q6" s="66"/>
      <c r="R6" s="66"/>
      <c r="S6" s="66"/>
      <c r="T6" s="12"/>
    </row>
    <row r="7" spans="2:11" ht="12.75" customHeight="1">
      <c r="B7" s="12"/>
      <c r="C7" s="12"/>
      <c r="D7" s="12"/>
      <c r="E7" s="155"/>
      <c r="F7" s="12"/>
      <c r="G7" s="155"/>
      <c r="K7" s="155"/>
    </row>
    <row r="8" spans="3:40" ht="11.25">
      <c r="C8" s="11" t="s">
        <v>40</v>
      </c>
      <c r="D8" s="11"/>
      <c r="E8" s="11"/>
      <c r="G8" s="11"/>
      <c r="I8" s="169"/>
      <c r="K8" s="11" t="s">
        <v>37</v>
      </c>
      <c r="M8" s="11"/>
      <c r="O8" s="6"/>
      <c r="Q8" s="2"/>
      <c r="R8" s="2"/>
      <c r="S8" s="11" t="s">
        <v>32</v>
      </c>
      <c r="U8" s="11" t="s">
        <v>66</v>
      </c>
      <c r="W8" s="11" t="s">
        <v>36</v>
      </c>
      <c r="Y8" s="11" t="s">
        <v>68</v>
      </c>
      <c r="AA8" s="11" t="s">
        <v>37</v>
      </c>
      <c r="AC8" s="11"/>
      <c r="AF8" s="11" t="s">
        <v>66</v>
      </c>
      <c r="AH8" s="11" t="s">
        <v>69</v>
      </c>
      <c r="AJ8" s="11" t="s">
        <v>68</v>
      </c>
      <c r="AL8" s="11" t="s">
        <v>37</v>
      </c>
      <c r="AN8" s="11"/>
    </row>
    <row r="9" spans="3:40" ht="11.25">
      <c r="C9" s="4" t="s">
        <v>41</v>
      </c>
      <c r="D9" s="11"/>
      <c r="E9" s="4" t="s">
        <v>104</v>
      </c>
      <c r="G9" s="4" t="s">
        <v>105</v>
      </c>
      <c r="I9" s="188" t="s">
        <v>106</v>
      </c>
      <c r="K9" s="4" t="s">
        <v>38</v>
      </c>
      <c r="L9" s="3"/>
      <c r="M9" s="4" t="s">
        <v>39</v>
      </c>
      <c r="O9" s="6"/>
      <c r="Q9" s="4" t="s">
        <v>42</v>
      </c>
      <c r="R9" s="2"/>
      <c r="S9" s="4" t="s">
        <v>33</v>
      </c>
      <c r="U9" s="4" t="s">
        <v>67</v>
      </c>
      <c r="W9" s="4" t="s">
        <v>10</v>
      </c>
      <c r="Y9" s="4" t="s">
        <v>10</v>
      </c>
      <c r="AA9" s="4" t="s">
        <v>38</v>
      </c>
      <c r="AB9" s="3"/>
      <c r="AC9" s="4" t="s">
        <v>39</v>
      </c>
      <c r="AF9" s="4" t="s">
        <v>67</v>
      </c>
      <c r="AH9" s="4" t="s">
        <v>10</v>
      </c>
      <c r="AJ9" s="4" t="s">
        <v>10</v>
      </c>
      <c r="AL9" s="4" t="s">
        <v>38</v>
      </c>
      <c r="AM9" s="3"/>
      <c r="AN9" s="4" t="s">
        <v>39</v>
      </c>
    </row>
    <row r="10" spans="2:29" ht="11.25">
      <c r="B10" s="5" t="s">
        <v>9</v>
      </c>
      <c r="C10" s="7"/>
      <c r="E10" s="7"/>
      <c r="G10" s="7"/>
      <c r="K10" s="7"/>
      <c r="M10" s="7"/>
      <c r="O10" s="9"/>
      <c r="Q10" s="7"/>
      <c r="R10" s="2"/>
      <c r="S10" s="7"/>
      <c r="U10" s="7"/>
      <c r="W10" s="7"/>
      <c r="Y10" s="7"/>
      <c r="AA10" s="7"/>
      <c r="AC10" s="7"/>
    </row>
    <row r="11" spans="2:31" s="13" customFormat="1" ht="11.25">
      <c r="B11" s="37" t="s">
        <v>10</v>
      </c>
      <c r="C11" s="10">
        <v>0</v>
      </c>
      <c r="D11" s="10"/>
      <c r="E11" s="10">
        <v>0</v>
      </c>
      <c r="F11" s="10"/>
      <c r="G11" s="10">
        <v>61250</v>
      </c>
      <c r="H11" s="10"/>
      <c r="I11" s="180">
        <v>0</v>
      </c>
      <c r="J11" s="10"/>
      <c r="K11" s="10">
        <v>0</v>
      </c>
      <c r="L11" s="10"/>
      <c r="M11" s="10">
        <f>SUM(E11:K11)</f>
        <v>61250</v>
      </c>
      <c r="N11" s="40"/>
      <c r="O11" s="40"/>
      <c r="P11" s="40"/>
      <c r="Q11" s="10">
        <v>0</v>
      </c>
      <c r="R11" s="10"/>
      <c r="S11" s="10">
        <v>0</v>
      </c>
      <c r="T11" s="10"/>
      <c r="U11" s="10">
        <v>0</v>
      </c>
      <c r="V11" s="10"/>
      <c r="W11" s="10">
        <v>15675.35863</v>
      </c>
      <c r="X11" s="10"/>
      <c r="Y11" s="10">
        <v>76905.10454</v>
      </c>
      <c r="Z11" s="10"/>
      <c r="AA11" s="10">
        <v>-12518</v>
      </c>
      <c r="AB11" s="10"/>
      <c r="AC11" s="10">
        <v>80062.46317</v>
      </c>
      <c r="AE11" s="13" t="e">
        <v>#REF!</v>
      </c>
    </row>
    <row r="12" spans="2:31" ht="11.25">
      <c r="B12" s="37" t="s">
        <v>11</v>
      </c>
      <c r="C12" s="7">
        <v>0</v>
      </c>
      <c r="E12" s="7">
        <v>49000</v>
      </c>
      <c r="G12" s="7">
        <v>0</v>
      </c>
      <c r="I12" s="67">
        <v>0</v>
      </c>
      <c r="K12" s="7">
        <v>-49000</v>
      </c>
      <c r="M12" s="67">
        <f>SUM(E12:K12)</f>
        <v>0</v>
      </c>
      <c r="O12" s="9"/>
      <c r="Q12" s="7">
        <v>0</v>
      </c>
      <c r="R12" s="2">
        <v>0</v>
      </c>
      <c r="S12" s="7">
        <v>0</v>
      </c>
      <c r="U12" s="7">
        <v>39751.23763</v>
      </c>
      <c r="W12" s="7">
        <v>1062.4007</v>
      </c>
      <c r="Y12" s="7">
        <v>17063.13316</v>
      </c>
      <c r="AA12" s="7">
        <v>-42742.23763</v>
      </c>
      <c r="AC12" s="7">
        <v>15134.533859999996</v>
      </c>
      <c r="AE12" s="13" t="e">
        <v>#REF!</v>
      </c>
    </row>
    <row r="13" spans="2:31" ht="11.25">
      <c r="B13" s="37" t="s">
        <v>12</v>
      </c>
      <c r="C13" s="7">
        <v>0</v>
      </c>
      <c r="E13" s="156">
        <v>0</v>
      </c>
      <c r="F13" s="157"/>
      <c r="G13" s="156">
        <v>15212.48273</v>
      </c>
      <c r="I13" s="67">
        <v>0</v>
      </c>
      <c r="K13" s="156">
        <v>0</v>
      </c>
      <c r="M13" s="67">
        <f>SUM(E13:K13)</f>
        <v>15212.48273</v>
      </c>
      <c r="O13" s="9"/>
      <c r="Q13" s="7">
        <v>0</v>
      </c>
      <c r="R13" s="2">
        <v>0</v>
      </c>
      <c r="S13" s="7">
        <v>0</v>
      </c>
      <c r="U13" s="7">
        <v>0</v>
      </c>
      <c r="W13" s="7">
        <v>357.25397</v>
      </c>
      <c r="Y13" s="7">
        <v>3478.4172000000003</v>
      </c>
      <c r="AA13" s="7">
        <v>-218</v>
      </c>
      <c r="AC13" s="7">
        <v>3617.6711700000005</v>
      </c>
      <c r="AE13" s="13" t="e">
        <v>#REF!</v>
      </c>
    </row>
    <row r="14" spans="2:31" ht="11.25">
      <c r="B14" s="2" t="s">
        <v>64</v>
      </c>
      <c r="C14" s="14">
        <v>0</v>
      </c>
      <c r="E14" s="14">
        <f aca="true" t="shared" si="0" ref="E14:M14">SUM(E11:E13)</f>
        <v>49000</v>
      </c>
      <c r="F14" s="14">
        <f t="shared" si="0"/>
        <v>0</v>
      </c>
      <c r="G14" s="14">
        <f t="shared" si="0"/>
        <v>76462.48273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-49000</v>
      </c>
      <c r="L14" s="14">
        <f t="shared" si="0"/>
        <v>0</v>
      </c>
      <c r="M14" s="14">
        <f t="shared" si="0"/>
        <v>76462.48273</v>
      </c>
      <c r="O14" s="9"/>
      <c r="Q14" s="14">
        <v>248.339</v>
      </c>
      <c r="R14" s="2">
        <v>0</v>
      </c>
      <c r="S14" s="14">
        <v>0</v>
      </c>
      <c r="U14" s="14">
        <v>39823.5831</v>
      </c>
      <c r="W14" s="14">
        <v>17095.013300000002</v>
      </c>
      <c r="Y14" s="14">
        <v>108823.46646</v>
      </c>
      <c r="AA14" s="14">
        <v>-55555.5831</v>
      </c>
      <c r="AC14" s="14">
        <v>110434.81876000001</v>
      </c>
      <c r="AE14" s="13" t="e">
        <v>#REF!</v>
      </c>
    </row>
    <row r="15" spans="2:31" ht="11.25">
      <c r="B15" s="5" t="s">
        <v>13</v>
      </c>
      <c r="C15" s="7"/>
      <c r="E15" s="7"/>
      <c r="G15" s="7"/>
      <c r="K15" s="7"/>
      <c r="M15" s="7"/>
      <c r="O15" s="9"/>
      <c r="Q15" s="7"/>
      <c r="R15" s="2">
        <v>0</v>
      </c>
      <c r="S15" s="7"/>
      <c r="U15" s="7"/>
      <c r="W15" s="7"/>
      <c r="Y15" s="7"/>
      <c r="AA15" s="7"/>
      <c r="AC15" s="7"/>
      <c r="AE15" s="13" t="e">
        <v>#REF!</v>
      </c>
    </row>
    <row r="16" spans="2:40" ht="11.25">
      <c r="B16" s="37" t="s">
        <v>14</v>
      </c>
      <c r="C16" s="7">
        <v>0</v>
      </c>
      <c r="E16" s="7">
        <v>9800</v>
      </c>
      <c r="G16" s="7">
        <v>53900.00000000001</v>
      </c>
      <c r="I16" s="67">
        <v>0</v>
      </c>
      <c r="K16" s="7">
        <v>-49000</v>
      </c>
      <c r="M16" s="67">
        <f>SUM(E16:K16)</f>
        <v>14700.000000000007</v>
      </c>
      <c r="O16" s="9"/>
      <c r="Q16" s="7">
        <v>335.24284</v>
      </c>
      <c r="R16" s="2">
        <v>0</v>
      </c>
      <c r="S16" s="7">
        <v>0</v>
      </c>
      <c r="U16" s="7">
        <v>13728.64205</v>
      </c>
      <c r="W16" s="7">
        <v>18257.41827</v>
      </c>
      <c r="Y16" s="7">
        <v>125180.88843</v>
      </c>
      <c r="AA16" s="7">
        <v>-55555.5831</v>
      </c>
      <c r="AC16" s="7">
        <v>101946.60849</v>
      </c>
      <c r="AE16" s="13" t="e">
        <v>#REF!</v>
      </c>
      <c r="AF16" s="86">
        <v>0.2</v>
      </c>
      <c r="AH16" s="86" t="e">
        <v>#REF!</v>
      </c>
      <c r="AJ16" s="86">
        <v>0.704920871982782</v>
      </c>
      <c r="AL16" s="86">
        <v>1</v>
      </c>
      <c r="AN16" s="86">
        <v>0.19225114690439515</v>
      </c>
    </row>
    <row r="17" spans="2:40" ht="11.25">
      <c r="B17" s="37" t="s">
        <v>98</v>
      </c>
      <c r="C17" s="7">
        <v>0</v>
      </c>
      <c r="E17" s="7">
        <v>17150</v>
      </c>
      <c r="G17" s="7">
        <v>11660.04093536981</v>
      </c>
      <c r="I17" s="67">
        <v>0</v>
      </c>
      <c r="K17" s="7">
        <v>0</v>
      </c>
      <c r="M17" s="67">
        <f>SUM(E17:K17)</f>
        <v>28810.040935369812</v>
      </c>
      <c r="O17" s="9"/>
      <c r="Q17" s="7">
        <v>43.49062</v>
      </c>
      <c r="R17" s="2"/>
      <c r="S17" s="7">
        <v>15.11753</v>
      </c>
      <c r="U17" s="7">
        <v>22556.56497</v>
      </c>
      <c r="W17" s="7">
        <v>675.93506</v>
      </c>
      <c r="Y17" s="7">
        <v>18525.82999</v>
      </c>
      <c r="AA17" s="7">
        <v>0</v>
      </c>
      <c r="AC17" s="7">
        <v>41816.938169999994</v>
      </c>
      <c r="AE17" s="13" t="e">
        <v>#REF!</v>
      </c>
      <c r="AF17" s="86">
        <v>0.35</v>
      </c>
      <c r="AH17" s="86" t="e">
        <v>#REF!</v>
      </c>
      <c r="AJ17" s="86">
        <v>0.15249362195762187</v>
      </c>
      <c r="AL17" s="86">
        <v>0</v>
      </c>
      <c r="AN17" s="86">
        <v>0.3767866266794161</v>
      </c>
    </row>
    <row r="18" spans="2:40" ht="11.25">
      <c r="B18" s="2" t="s">
        <v>64</v>
      </c>
      <c r="C18" s="14">
        <v>0</v>
      </c>
      <c r="E18" s="14">
        <f>SUM(E16:E17)</f>
        <v>26950</v>
      </c>
      <c r="F18" s="14">
        <f aca="true" t="shared" si="1" ref="F18:M18">SUM(F16:F17)</f>
        <v>0</v>
      </c>
      <c r="G18" s="14">
        <f t="shared" si="1"/>
        <v>65560.04093536982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-49000</v>
      </c>
      <c r="L18" s="14">
        <f t="shared" si="1"/>
        <v>0</v>
      </c>
      <c r="M18" s="14">
        <f t="shared" si="1"/>
        <v>43510.04093536982</v>
      </c>
      <c r="O18" s="9"/>
      <c r="Q18" s="14">
        <v>378.73346</v>
      </c>
      <c r="R18" s="2">
        <v>0</v>
      </c>
      <c r="S18" s="14">
        <v>15.11753</v>
      </c>
      <c r="U18" s="14">
        <v>36285.20702</v>
      </c>
      <c r="W18" s="14">
        <v>19347.830779999997</v>
      </c>
      <c r="Y18" s="14">
        <v>146088.25905</v>
      </c>
      <c r="AA18" s="14">
        <v>-55555.5831</v>
      </c>
      <c r="AC18" s="14">
        <v>146559.56474</v>
      </c>
      <c r="AE18" s="13" t="e">
        <v>#REF!</v>
      </c>
      <c r="AF18" s="86">
        <v>0.55</v>
      </c>
      <c r="AH18" s="86" t="e">
        <v>#REF!</v>
      </c>
      <c r="AJ18" s="86">
        <v>0.8574144939404038</v>
      </c>
      <c r="AL18" s="86">
        <v>1</v>
      </c>
      <c r="AN18" s="86">
        <v>0.5690377735838112</v>
      </c>
    </row>
    <row r="19" spans="2:40" ht="18" customHeight="1">
      <c r="B19" s="38" t="s">
        <v>15</v>
      </c>
      <c r="C19" s="7">
        <v>0</v>
      </c>
      <c r="E19" s="7">
        <f>E14-E18</f>
        <v>22050</v>
      </c>
      <c r="F19" s="7">
        <f aca="true" t="shared" si="2" ref="F19:L19">F14-F18</f>
        <v>0</v>
      </c>
      <c r="G19" s="7">
        <f t="shared" si="2"/>
        <v>10902.441794630184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>M14-M18</f>
        <v>32952.441794630184</v>
      </c>
      <c r="O19" s="9"/>
      <c r="Q19" s="7">
        <v>-130.39445999999998</v>
      </c>
      <c r="R19" s="2">
        <v>0</v>
      </c>
      <c r="S19" s="7">
        <v>-15.11753</v>
      </c>
      <c r="U19" s="7">
        <v>3538.376080000002</v>
      </c>
      <c r="W19" s="7">
        <v>-2252.8174799999942</v>
      </c>
      <c r="Y19" s="7">
        <v>-37264.79259</v>
      </c>
      <c r="AA19" s="7">
        <v>0</v>
      </c>
      <c r="AC19" s="7">
        <v>-36124.74597999999</v>
      </c>
      <c r="AE19" s="13" t="e">
        <v>#REF!</v>
      </c>
      <c r="AF19" s="86">
        <v>0.45</v>
      </c>
      <c r="AH19" s="86" t="e">
        <v>#REF!</v>
      </c>
      <c r="AJ19" s="86">
        <v>0.1425855060595962</v>
      </c>
      <c r="AL19" s="86">
        <v>0</v>
      </c>
      <c r="AN19" s="86">
        <v>0.43096222641618875</v>
      </c>
    </row>
    <row r="20" spans="2:40" ht="12" customHeight="1">
      <c r="B20" s="37"/>
      <c r="C20" s="7"/>
      <c r="E20" s="7"/>
      <c r="G20" s="7"/>
      <c r="K20" s="7"/>
      <c r="M20" s="67"/>
      <c r="O20" s="9"/>
      <c r="Q20" s="7"/>
      <c r="R20" s="2"/>
      <c r="S20" s="7"/>
      <c r="U20" s="7"/>
      <c r="W20" s="7"/>
      <c r="Y20" s="7"/>
      <c r="AA20" s="7"/>
      <c r="AC20" s="7"/>
      <c r="AE20" s="13"/>
      <c r="AF20" s="86"/>
      <c r="AH20" s="86"/>
      <c r="AJ20" s="86"/>
      <c r="AL20" s="86"/>
      <c r="AN20" s="86"/>
    </row>
    <row r="21" spans="2:40" ht="12" thickBot="1">
      <c r="B21" s="5" t="s">
        <v>16</v>
      </c>
      <c r="C21" s="41">
        <v>0</v>
      </c>
      <c r="E21" s="41">
        <f>E19</f>
        <v>22050</v>
      </c>
      <c r="F21" s="41">
        <f aca="true" t="shared" si="3" ref="F21:M21">F19</f>
        <v>0</v>
      </c>
      <c r="G21" s="41">
        <f t="shared" si="3"/>
        <v>10902.441794630184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1">
        <f t="shared" si="3"/>
        <v>0</v>
      </c>
      <c r="L21" s="41">
        <f t="shared" si="3"/>
        <v>0</v>
      </c>
      <c r="M21" s="41">
        <f t="shared" si="3"/>
        <v>32952.441794630184</v>
      </c>
      <c r="O21" s="42"/>
      <c r="Q21" s="41">
        <v>-130.39445999999998</v>
      </c>
      <c r="R21" s="2">
        <v>0</v>
      </c>
      <c r="S21" s="41">
        <v>-15.11753</v>
      </c>
      <c r="U21" s="41">
        <v>3538.376080000002</v>
      </c>
      <c r="W21" s="41">
        <v>-2252.8174799999942</v>
      </c>
      <c r="Y21" s="41">
        <v>-37323.731239999994</v>
      </c>
      <c r="AA21" s="41">
        <v>0</v>
      </c>
      <c r="AC21" s="41">
        <v>-36183.68462999999</v>
      </c>
      <c r="AE21" s="13" t="e">
        <v>#REF!</v>
      </c>
      <c r="AF21" s="86">
        <v>0.45</v>
      </c>
      <c r="AH21" s="86" t="e">
        <v>#REF!</v>
      </c>
      <c r="AJ21" s="86">
        <v>0.1425855060595962</v>
      </c>
      <c r="AL21" s="86">
        <v>0</v>
      </c>
      <c r="AN21" s="86">
        <v>0.43096222641618875</v>
      </c>
    </row>
    <row r="22" spans="2:40" ht="11.25">
      <c r="B22" s="5"/>
      <c r="C22" s="42"/>
      <c r="E22" s="42"/>
      <c r="G22" s="42"/>
      <c r="K22" s="42"/>
      <c r="M22" s="42"/>
      <c r="O22" s="42"/>
      <c r="Q22" s="42"/>
      <c r="R22" s="2"/>
      <c r="S22" s="42"/>
      <c r="U22" s="42"/>
      <c r="W22" s="42"/>
      <c r="Y22" s="42"/>
      <c r="AA22" s="42"/>
      <c r="AC22" s="42"/>
      <c r="AE22" s="13"/>
      <c r="AF22" s="86"/>
      <c r="AH22" s="86"/>
      <c r="AJ22" s="86"/>
      <c r="AL22" s="86"/>
      <c r="AN22" s="86"/>
    </row>
    <row r="23" spans="2:40" ht="11.25">
      <c r="B23" s="37" t="s">
        <v>97</v>
      </c>
      <c r="C23" s="7">
        <v>0</v>
      </c>
      <c r="E23" s="7">
        <v>11269.869999999999</v>
      </c>
      <c r="G23" s="7">
        <v>4990.67</v>
      </c>
      <c r="I23" s="67">
        <v>0</v>
      </c>
      <c r="K23" s="7">
        <v>0</v>
      </c>
      <c r="M23" s="7">
        <f>SUM(E23:K23)</f>
        <v>16260.539999999999</v>
      </c>
      <c r="O23" s="9"/>
      <c r="Q23" s="7">
        <v>0</v>
      </c>
      <c r="R23" s="2"/>
      <c r="S23" s="7">
        <v>0</v>
      </c>
      <c r="U23" s="7">
        <v>4331.88332</v>
      </c>
      <c r="W23" s="7">
        <v>688.743</v>
      </c>
      <c r="Y23" s="7">
        <v>9578.93204</v>
      </c>
      <c r="AA23" s="7">
        <v>0</v>
      </c>
      <c r="AC23" s="7">
        <v>14599.558359999999</v>
      </c>
      <c r="AE23" s="13" t="e">
        <v>#REF!</v>
      </c>
      <c r="AF23" s="86">
        <v>0.2299973469387755</v>
      </c>
      <c r="AH23" s="86" t="e">
        <v>#REF!</v>
      </c>
      <c r="AJ23" s="86">
        <v>0.06526952594022839</v>
      </c>
      <c r="AL23" s="86">
        <v>0</v>
      </c>
      <c r="AN23" s="86">
        <v>0.21266037172005386</v>
      </c>
    </row>
    <row r="24" spans="2:40" ht="11.25">
      <c r="B24" s="2" t="s">
        <v>64</v>
      </c>
      <c r="C24" s="14">
        <v>0</v>
      </c>
      <c r="E24" s="14">
        <f>E23</f>
        <v>11269.869999999999</v>
      </c>
      <c r="F24" s="14">
        <f aca="true" t="shared" si="4" ref="F24:N24">F23</f>
        <v>0</v>
      </c>
      <c r="G24" s="14">
        <f t="shared" si="4"/>
        <v>4990.67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16260.539999999999</v>
      </c>
      <c r="N24" s="14">
        <f t="shared" si="4"/>
        <v>0</v>
      </c>
      <c r="O24" s="9"/>
      <c r="Q24" s="14">
        <v>0</v>
      </c>
      <c r="R24" s="2"/>
      <c r="S24" s="14">
        <v>0</v>
      </c>
      <c r="U24" s="14">
        <v>8126.667659999999</v>
      </c>
      <c r="W24" s="14">
        <v>688.743</v>
      </c>
      <c r="Y24" s="14">
        <v>9578.93204</v>
      </c>
      <c r="AA24" s="14">
        <v>0</v>
      </c>
      <c r="AC24" s="14">
        <v>18394.342699999997</v>
      </c>
      <c r="AE24" s="13" t="e">
        <v>#REF!</v>
      </c>
      <c r="AF24" s="86">
        <v>0.2299973469387755</v>
      </c>
      <c r="AH24" s="86" t="e">
        <v>#REF!</v>
      </c>
      <c r="AJ24" s="86">
        <v>0.06526952594022839</v>
      </c>
      <c r="AL24" s="86">
        <v>0</v>
      </c>
      <c r="AN24" s="86">
        <v>0.21266037172005386</v>
      </c>
    </row>
    <row r="25" spans="2:40" ht="21" customHeight="1">
      <c r="B25" s="38" t="s">
        <v>17</v>
      </c>
      <c r="C25" s="7">
        <v>0</v>
      </c>
      <c r="E25" s="49">
        <f>E21-E24</f>
        <v>10780.130000000001</v>
      </c>
      <c r="F25" s="5"/>
      <c r="G25" s="49">
        <f>G19-G24</f>
        <v>5911.771794630184</v>
      </c>
      <c r="H25" s="49"/>
      <c r="I25" s="171">
        <v>0</v>
      </c>
      <c r="J25" s="49"/>
      <c r="K25" s="49">
        <v>0</v>
      </c>
      <c r="L25" s="5"/>
      <c r="M25" s="49">
        <f>SUM(E25:K25)</f>
        <v>16691.901794630183</v>
      </c>
      <c r="O25" s="9"/>
      <c r="Q25" s="49">
        <v>-130.39445999999998</v>
      </c>
      <c r="R25" s="5">
        <v>0</v>
      </c>
      <c r="S25" s="49">
        <v>-15.11753</v>
      </c>
      <c r="T25" s="5"/>
      <c r="U25" s="49">
        <v>-4588.291579999997</v>
      </c>
      <c r="V25" s="5"/>
      <c r="W25" s="49">
        <v>-2941.560479999994</v>
      </c>
      <c r="X25" s="5"/>
      <c r="Y25" s="49">
        <v>-46902.66327999999</v>
      </c>
      <c r="Z25" s="49"/>
      <c r="AA25" s="49">
        <v>0</v>
      </c>
      <c r="AB25" s="5"/>
      <c r="AC25" s="49">
        <v>-54578.02732999998</v>
      </c>
      <c r="AE25" s="13" t="e">
        <v>#REF!</v>
      </c>
      <c r="AF25" s="86">
        <v>0.22000265306122452</v>
      </c>
      <c r="AH25" s="86" t="e">
        <v>#REF!</v>
      </c>
      <c r="AJ25" s="86">
        <v>0.0773159801193678</v>
      </c>
      <c r="AL25" s="86">
        <v>0</v>
      </c>
      <c r="AN25" s="86">
        <v>0.21830185469613486</v>
      </c>
    </row>
    <row r="26" spans="2:40" ht="20.25" customHeight="1">
      <c r="B26" s="38" t="s">
        <v>18</v>
      </c>
      <c r="C26" s="7"/>
      <c r="E26" s="7"/>
      <c r="G26" s="7"/>
      <c r="K26" s="7"/>
      <c r="M26" s="7"/>
      <c r="O26" s="9"/>
      <c r="Q26" s="7"/>
      <c r="R26" s="2">
        <v>0</v>
      </c>
      <c r="S26" s="7"/>
      <c r="U26" s="7"/>
      <c r="W26" s="7"/>
      <c r="Y26" s="7"/>
      <c r="AA26" s="7"/>
      <c r="AC26" s="7"/>
      <c r="AE26" s="13" t="e">
        <v>#REF!</v>
      </c>
      <c r="AF26" s="86">
        <v>0</v>
      </c>
      <c r="AH26" s="86" t="e">
        <v>#REF!</v>
      </c>
      <c r="AJ26" s="86">
        <v>0</v>
      </c>
      <c r="AL26" s="86">
        <v>0</v>
      </c>
      <c r="AN26" s="86">
        <v>0</v>
      </c>
    </row>
    <row r="27" spans="2:40" ht="11.25">
      <c r="B27" s="43" t="s">
        <v>19</v>
      </c>
      <c r="C27" s="7">
        <v>0</v>
      </c>
      <c r="E27" s="7">
        <v>2608.2024300000003</v>
      </c>
      <c r="G27" s="7">
        <v>167.91601</v>
      </c>
      <c r="I27" s="67">
        <v>0</v>
      </c>
      <c r="K27" s="7">
        <v>0</v>
      </c>
      <c r="M27" s="7">
        <f>SUM(E27:K27)</f>
        <v>2776.11844</v>
      </c>
      <c r="O27" s="9"/>
      <c r="Q27" s="7">
        <v>0</v>
      </c>
      <c r="R27" s="2">
        <v>0</v>
      </c>
      <c r="S27" s="7">
        <v>94.46722</v>
      </c>
      <c r="U27" s="7">
        <v>2608.2024300000003</v>
      </c>
      <c r="W27" s="7">
        <v>2.04591</v>
      </c>
      <c r="Y27" s="7">
        <v>165.8701</v>
      </c>
      <c r="AA27" s="7">
        <v>0</v>
      </c>
      <c r="AC27" s="7">
        <v>2870.58566</v>
      </c>
      <c r="AE27" s="13" t="e">
        <v>#REF!</v>
      </c>
      <c r="AF27" s="86">
        <v>0.05322862102040817</v>
      </c>
      <c r="AH27" s="86" t="e">
        <v>#REF!</v>
      </c>
      <c r="AJ27" s="86">
        <v>0.00219605751742244</v>
      </c>
      <c r="AL27" s="86">
        <v>0</v>
      </c>
      <c r="AN27" s="86">
        <v>0.03630693564846531</v>
      </c>
    </row>
    <row r="28" spans="2:40" ht="11.25">
      <c r="B28" s="37" t="s">
        <v>20</v>
      </c>
      <c r="C28" s="7">
        <v>0</v>
      </c>
      <c r="E28" s="7">
        <f>-'Forest Co Notes'!W12</f>
        <v>-124718.26545528766</v>
      </c>
      <c r="G28" s="7">
        <f>-(SUM('MillCo Notes'!I22:I33))</f>
        <v>-4492.944444444445</v>
      </c>
      <c r="I28" s="67">
        <f>-SUM('MLC Note'!I82:I85)+'MLC Revolver'!J12</f>
        <v>-7197.291666666666</v>
      </c>
      <c r="K28" s="7">
        <v>0</v>
      </c>
      <c r="M28" s="7">
        <f>SUM(E28:K28)</f>
        <v>-136408.50156639877</v>
      </c>
      <c r="O28" s="9"/>
      <c r="Q28" s="7">
        <v>0</v>
      </c>
      <c r="R28" s="2">
        <v>0</v>
      </c>
      <c r="S28" s="7">
        <v>0</v>
      </c>
      <c r="U28" s="7">
        <v>-56575.36958</v>
      </c>
      <c r="W28" s="7">
        <v>-0.044039999999999996</v>
      </c>
      <c r="Y28" s="7">
        <v>-16775.2474</v>
      </c>
      <c r="AA28" s="7">
        <v>0</v>
      </c>
      <c r="AC28" s="7">
        <v>-73350.66102</v>
      </c>
      <c r="AE28" s="13" t="e">
        <v>#REF!</v>
      </c>
      <c r="AF28" s="86">
        <v>-0.6150032655499021</v>
      </c>
      <c r="AH28" s="86" t="e">
        <v>#REF!</v>
      </c>
      <c r="AJ28" s="86">
        <v>-0.05801392696798309</v>
      </c>
      <c r="AL28" s="86">
        <v>0</v>
      </c>
      <c r="AN28" s="86">
        <v>-0.5436136444537091</v>
      </c>
    </row>
    <row r="29" spans="3:40" ht="11.25">
      <c r="C29" s="14">
        <v>0</v>
      </c>
      <c r="E29" s="14">
        <f>SUM(E27:E28)</f>
        <v>-122110.06302528766</v>
      </c>
      <c r="F29" s="14">
        <f aca="true" t="shared" si="5" ref="F29:K29">SUM(F27:F28)</f>
        <v>0</v>
      </c>
      <c r="G29" s="14">
        <f t="shared" si="5"/>
        <v>-4325.028434444445</v>
      </c>
      <c r="H29" s="14">
        <f t="shared" si="5"/>
        <v>0</v>
      </c>
      <c r="I29" s="14">
        <f t="shared" si="5"/>
        <v>-7197.291666666666</v>
      </c>
      <c r="J29" s="14">
        <f t="shared" si="5"/>
        <v>0</v>
      </c>
      <c r="K29" s="14">
        <f t="shared" si="5"/>
        <v>0</v>
      </c>
      <c r="M29" s="14">
        <f>SUM(M27:M28)</f>
        <v>-133632.38312639878</v>
      </c>
      <c r="O29" s="9"/>
      <c r="Q29" s="14">
        <v>0</v>
      </c>
      <c r="R29" s="2">
        <v>0</v>
      </c>
      <c r="S29" s="14">
        <v>94.46722</v>
      </c>
      <c r="U29" s="14">
        <v>-55603.392850000004</v>
      </c>
      <c r="W29" s="14">
        <v>223.02408</v>
      </c>
      <c r="Y29" s="14">
        <v>-29138.535539999997</v>
      </c>
      <c r="AA29" s="14">
        <v>0</v>
      </c>
      <c r="AC29" s="14">
        <v>-84424.43708999999</v>
      </c>
      <c r="AE29" s="13" t="e">
        <v>#REF!</v>
      </c>
      <c r="AF29" s="86">
        <v>-0.561774644529494</v>
      </c>
      <c r="AH29" s="86" t="e">
        <v>#REF!</v>
      </c>
      <c r="AJ29" s="86">
        <v>-0.05581786945056065</v>
      </c>
      <c r="AL29" s="86">
        <v>0</v>
      </c>
      <c r="AN29" s="86">
        <v>-0.5073067088052439</v>
      </c>
    </row>
    <row r="30" spans="2:40" ht="22.5">
      <c r="B30" s="44" t="s">
        <v>21</v>
      </c>
      <c r="C30" s="7">
        <v>0</v>
      </c>
      <c r="E30" s="49">
        <f>E25+E29</f>
        <v>-111329.93302528765</v>
      </c>
      <c r="F30" s="49">
        <f aca="true" t="shared" si="6" ref="F30:K30">F25+F29</f>
        <v>0</v>
      </c>
      <c r="G30" s="49">
        <f t="shared" si="6"/>
        <v>1586.7433601857383</v>
      </c>
      <c r="H30" s="49">
        <f t="shared" si="6"/>
        <v>0</v>
      </c>
      <c r="I30" s="49">
        <f t="shared" si="6"/>
        <v>-7197.291666666666</v>
      </c>
      <c r="J30" s="49">
        <f t="shared" si="6"/>
        <v>0</v>
      </c>
      <c r="K30" s="49">
        <f t="shared" si="6"/>
        <v>0</v>
      </c>
      <c r="L30" s="5"/>
      <c r="M30" s="49">
        <f>M25+M29</f>
        <v>-116940.48133176859</v>
      </c>
      <c r="O30" s="9"/>
      <c r="Q30" s="49">
        <v>-130.39445999999998</v>
      </c>
      <c r="R30" s="5">
        <v>0</v>
      </c>
      <c r="S30" s="49">
        <v>79.34969</v>
      </c>
      <c r="T30" s="5"/>
      <c r="U30" s="49">
        <v>-60191.68443</v>
      </c>
      <c r="V30" s="5"/>
      <c r="W30" s="49">
        <v>-2718.536399999994</v>
      </c>
      <c r="X30" s="5"/>
      <c r="Y30" s="49">
        <v>-76041.19881999999</v>
      </c>
      <c r="Z30" s="5"/>
      <c r="AA30" s="49">
        <v>0</v>
      </c>
      <c r="AB30" s="5"/>
      <c r="AC30" s="49">
        <v>-139002.46441999997</v>
      </c>
      <c r="AE30" s="13" t="e">
        <v>#REF!</v>
      </c>
      <c r="AF30" s="86">
        <v>-0.3417719914682694</v>
      </c>
      <c r="AH30" s="86" t="e">
        <v>#REF!</v>
      </c>
      <c r="AJ30" s="86">
        <v>0.021498110668807142</v>
      </c>
      <c r="AL30" s="86">
        <v>0</v>
      </c>
      <c r="AN30" s="86">
        <v>-0.289004854109109</v>
      </c>
    </row>
    <row r="31" spans="2:40" ht="18" customHeight="1">
      <c r="B31" s="38" t="s">
        <v>22</v>
      </c>
      <c r="C31" s="7">
        <v>0</v>
      </c>
      <c r="E31" s="7">
        <v>0</v>
      </c>
      <c r="G31" s="7">
        <v>10.95051999999987</v>
      </c>
      <c r="K31" s="7">
        <v>0</v>
      </c>
      <c r="M31" s="7">
        <f>SUM(E31:K31)</f>
        <v>10.95051999999987</v>
      </c>
      <c r="O31" s="9"/>
      <c r="Q31" s="7">
        <v>0</v>
      </c>
      <c r="R31" s="2"/>
      <c r="S31" s="7">
        <v>-0.8</v>
      </c>
      <c r="U31" s="7">
        <v>0</v>
      </c>
      <c r="W31" s="7">
        <v>-2163.811</v>
      </c>
      <c r="Y31" s="7">
        <v>2174.76152</v>
      </c>
      <c r="AA31" s="7">
        <v>0</v>
      </c>
      <c r="AC31" s="7">
        <v>10.150519999999688</v>
      </c>
      <c r="AE31" s="13" t="e">
        <v>#REF!</v>
      </c>
      <c r="AF31" s="86">
        <v>0</v>
      </c>
      <c r="AH31" s="86" t="e">
        <v>#REF!</v>
      </c>
      <c r="AJ31" s="86">
        <v>0.00014321428770064566</v>
      </c>
      <c r="AL31" s="86">
        <v>0</v>
      </c>
      <c r="AN31" s="86">
        <v>0.00014321428770064566</v>
      </c>
    </row>
    <row r="32" spans="2:40" ht="22.5">
      <c r="B32" s="44" t="s">
        <v>23</v>
      </c>
      <c r="C32" s="8">
        <v>0</v>
      </c>
      <c r="E32" s="55">
        <f>E30-E31</f>
        <v>-111329.93302528765</v>
      </c>
      <c r="F32" s="5"/>
      <c r="G32" s="55">
        <f>G30-G31</f>
        <v>1575.7928401857384</v>
      </c>
      <c r="H32" s="5"/>
      <c r="I32" s="172">
        <f>I30</f>
        <v>-7197.291666666666</v>
      </c>
      <c r="J32" s="5"/>
      <c r="K32" s="55">
        <v>0</v>
      </c>
      <c r="L32" s="5"/>
      <c r="M32" s="55">
        <f>M30-M31</f>
        <v>-116951.43185176859</v>
      </c>
      <c r="O32" s="9"/>
      <c r="Q32" s="55">
        <v>-130.39445999999998</v>
      </c>
      <c r="R32" s="5"/>
      <c r="S32" s="55">
        <v>78.54969</v>
      </c>
      <c r="T32" s="5"/>
      <c r="U32" s="55">
        <v>-60191.68443</v>
      </c>
      <c r="V32" s="5"/>
      <c r="W32" s="55">
        <v>-4882.347399999994</v>
      </c>
      <c r="X32" s="5"/>
      <c r="Y32" s="55">
        <v>-73866.43729999999</v>
      </c>
      <c r="Z32" s="5"/>
      <c r="AA32" s="55">
        <v>0</v>
      </c>
      <c r="AB32" s="5"/>
      <c r="AC32" s="55">
        <v>-138992.31389999998</v>
      </c>
      <c r="AE32" s="13" t="e">
        <v>#REF!</v>
      </c>
      <c r="AF32" s="86">
        <v>-0.3417719914682694</v>
      </c>
      <c r="AH32" s="86" t="e">
        <v>#REF!</v>
      </c>
      <c r="AJ32" s="86">
        <v>0.021641324956507786</v>
      </c>
      <c r="AL32" s="86">
        <v>0</v>
      </c>
      <c r="AN32" s="86">
        <v>-0.28886163982140833</v>
      </c>
    </row>
    <row r="33" spans="2:40" ht="11.25">
      <c r="B33" s="37"/>
      <c r="C33" s="7"/>
      <c r="E33" s="7"/>
      <c r="G33" s="7"/>
      <c r="K33" s="7"/>
      <c r="M33" s="7"/>
      <c r="O33" s="9"/>
      <c r="Q33" s="7"/>
      <c r="R33" s="2"/>
      <c r="S33" s="7"/>
      <c r="U33" s="7"/>
      <c r="W33" s="7"/>
      <c r="Y33" s="7"/>
      <c r="AA33" s="7"/>
      <c r="AC33" s="7"/>
      <c r="AE33" s="13"/>
      <c r="AF33" s="86"/>
      <c r="AH33" s="86"/>
      <c r="AJ33" s="86"/>
      <c r="AL33" s="86"/>
      <c r="AN33" s="86"/>
    </row>
    <row r="34" spans="2:40" ht="11.25">
      <c r="B34" s="37"/>
      <c r="C34" s="7"/>
      <c r="E34" s="7"/>
      <c r="G34" s="7"/>
      <c r="K34" s="7"/>
      <c r="M34" s="7"/>
      <c r="O34" s="9"/>
      <c r="Q34" s="7"/>
      <c r="R34" s="2"/>
      <c r="S34" s="7"/>
      <c r="U34" s="7"/>
      <c r="W34" s="7"/>
      <c r="Y34" s="7"/>
      <c r="AA34" s="7"/>
      <c r="AC34" s="7"/>
      <c r="AE34" s="13"/>
      <c r="AF34" s="86"/>
      <c r="AH34" s="86"/>
      <c r="AJ34" s="86"/>
      <c r="AL34" s="86"/>
      <c r="AN34" s="86"/>
    </row>
    <row r="35" spans="2:40" ht="20.25" customHeight="1" thickBot="1">
      <c r="B35" s="5" t="s">
        <v>24</v>
      </c>
      <c r="C35" s="45">
        <v>0</v>
      </c>
      <c r="E35" s="45">
        <f aca="true" t="shared" si="7" ref="E35:M35">E32</f>
        <v>-111329.93302528765</v>
      </c>
      <c r="F35" s="45">
        <f t="shared" si="7"/>
        <v>0</v>
      </c>
      <c r="G35" s="45">
        <f t="shared" si="7"/>
        <v>1575.7928401857384</v>
      </c>
      <c r="H35" s="45">
        <f t="shared" si="7"/>
        <v>0</v>
      </c>
      <c r="I35" s="45">
        <f t="shared" si="7"/>
        <v>-7197.291666666666</v>
      </c>
      <c r="J35" s="45">
        <f t="shared" si="7"/>
        <v>0</v>
      </c>
      <c r="K35" s="45">
        <f t="shared" si="7"/>
        <v>0</v>
      </c>
      <c r="L35" s="45">
        <f t="shared" si="7"/>
        <v>0</v>
      </c>
      <c r="M35" s="45">
        <f t="shared" si="7"/>
        <v>-116951.43185176859</v>
      </c>
      <c r="O35" s="46"/>
      <c r="Q35" s="45">
        <v>-130.39445999999998</v>
      </c>
      <c r="R35" s="2">
        <v>0</v>
      </c>
      <c r="S35" s="45">
        <v>78.54969</v>
      </c>
      <c r="U35" s="45">
        <v>-60191.68443</v>
      </c>
      <c r="W35" s="45">
        <v>-4882.347399999994</v>
      </c>
      <c r="Y35" s="45">
        <v>-139027.93396999998</v>
      </c>
      <c r="AA35" s="45">
        <v>65168.38154</v>
      </c>
      <c r="AC35" s="45">
        <v>-138985.42902999997</v>
      </c>
      <c r="AE35" s="13" t="e">
        <v>#REF!</v>
      </c>
      <c r="AF35" s="86">
        <v>-0.3417719914682694</v>
      </c>
      <c r="AH35" s="86" t="e">
        <v>#REF!</v>
      </c>
      <c r="AJ35" s="86">
        <v>0.021641324956507786</v>
      </c>
      <c r="AL35" s="86">
        <v>0</v>
      </c>
      <c r="AN35" s="86">
        <v>-0.28886163982140833</v>
      </c>
    </row>
    <row r="36" spans="17:19" ht="12" thickTop="1">
      <c r="Q36" s="2"/>
      <c r="R36" s="2"/>
      <c r="S36" s="2"/>
    </row>
    <row r="38" ht="11.25">
      <c r="C38" s="7"/>
    </row>
    <row r="39" ht="11.25">
      <c r="C39" s="7"/>
    </row>
    <row r="40" ht="11.25">
      <c r="C40" s="7"/>
    </row>
    <row r="41" ht="11.25">
      <c r="C41" s="7"/>
    </row>
    <row r="42" ht="11.25">
      <c r="C42" s="7"/>
    </row>
    <row r="43" ht="11.25">
      <c r="C43" s="7"/>
    </row>
    <row r="44" ht="11.25">
      <c r="C44" s="7"/>
    </row>
    <row r="45" ht="11.25">
      <c r="C45" s="7"/>
    </row>
    <row r="46" ht="11.25">
      <c r="C46" s="7"/>
    </row>
    <row r="47" ht="11.25">
      <c r="C47" s="7"/>
    </row>
    <row r="48" ht="11.25">
      <c r="C48" s="7"/>
    </row>
    <row r="49" ht="11.25">
      <c r="C49" s="7"/>
    </row>
    <row r="50" ht="11.25">
      <c r="C50" s="7"/>
    </row>
    <row r="51" ht="11.25">
      <c r="C51" s="7"/>
    </row>
    <row r="52" ht="11.25">
      <c r="C52" s="7"/>
    </row>
    <row r="53" ht="11.25">
      <c r="C53" s="7"/>
    </row>
    <row r="54" ht="11.25">
      <c r="C54" s="7"/>
    </row>
    <row r="55" ht="11.25">
      <c r="C55" s="7"/>
    </row>
    <row r="56" ht="11.25">
      <c r="C56" s="7"/>
    </row>
    <row r="57" ht="11.25">
      <c r="C57" s="7"/>
    </row>
    <row r="58" ht="11.25">
      <c r="C58" s="7"/>
    </row>
    <row r="59" ht="11.25">
      <c r="C59" s="7"/>
    </row>
    <row r="60" ht="11.25">
      <c r="C60" s="7"/>
    </row>
    <row r="61" ht="11.25">
      <c r="C61" s="7"/>
    </row>
    <row r="62" ht="11.25">
      <c r="C62" s="7"/>
    </row>
    <row r="63" ht="11.25">
      <c r="C63" s="7"/>
    </row>
    <row r="64" ht="11.25">
      <c r="C64" s="7"/>
    </row>
    <row r="65" ht="11.25">
      <c r="C65" s="7"/>
    </row>
    <row r="66" ht="11.25">
      <c r="C66" s="7"/>
    </row>
    <row r="67" ht="11.25">
      <c r="C67" s="7"/>
    </row>
    <row r="68" ht="11.25">
      <c r="C68" s="7"/>
    </row>
    <row r="69" ht="11.25">
      <c r="C69" s="7"/>
    </row>
    <row r="70" ht="11.25">
      <c r="C70" s="7"/>
    </row>
    <row r="71" ht="11.25">
      <c r="C71" s="7"/>
    </row>
    <row r="72" ht="11.25">
      <c r="C72" s="7"/>
    </row>
    <row r="73" ht="11.25">
      <c r="C73" s="7"/>
    </row>
    <row r="74" ht="11.25">
      <c r="C74" s="7"/>
    </row>
    <row r="75" ht="11.25">
      <c r="C75" s="7"/>
    </row>
    <row r="76" ht="11.25">
      <c r="C76" s="7"/>
    </row>
    <row r="77" ht="11.25">
      <c r="C77" s="7"/>
    </row>
    <row r="78" ht="11.25">
      <c r="C78" s="7"/>
    </row>
    <row r="79" ht="11.25">
      <c r="C79" s="7"/>
    </row>
    <row r="80" ht="11.25">
      <c r="C80" s="7"/>
    </row>
    <row r="81" ht="11.25">
      <c r="C81" s="7"/>
    </row>
    <row r="82" ht="11.25">
      <c r="C82" s="7"/>
    </row>
    <row r="83" ht="11.25">
      <c r="C83" s="7"/>
    </row>
    <row r="84" ht="11.25">
      <c r="C84" s="7"/>
    </row>
    <row r="85" ht="11.25">
      <c r="C85" s="7"/>
    </row>
    <row r="86" ht="11.25">
      <c r="C86" s="7"/>
    </row>
    <row r="87" ht="11.25">
      <c r="C87" s="7"/>
    </row>
    <row r="88" ht="11.25">
      <c r="C88" s="7"/>
    </row>
    <row r="89" ht="11.25">
      <c r="C89" s="7"/>
    </row>
    <row r="90" ht="11.25">
      <c r="C90" s="7"/>
    </row>
    <row r="91" ht="11.25">
      <c r="C91" s="7"/>
    </row>
    <row r="92" ht="11.25">
      <c r="C92" s="7"/>
    </row>
    <row r="93" ht="11.25">
      <c r="C93" s="7"/>
    </row>
    <row r="94" ht="11.25">
      <c r="C94" s="7"/>
    </row>
    <row r="95" ht="11.25">
      <c r="C95" s="7"/>
    </row>
    <row r="96" ht="11.25">
      <c r="C96" s="7"/>
    </row>
    <row r="97" ht="11.25">
      <c r="C97" s="7"/>
    </row>
    <row r="98" ht="11.25">
      <c r="C98" s="7"/>
    </row>
    <row r="99" ht="11.25">
      <c r="C99" s="7"/>
    </row>
    <row r="100" ht="11.25">
      <c r="C100" s="7"/>
    </row>
    <row r="101" ht="11.25">
      <c r="C101" s="7"/>
    </row>
    <row r="102" ht="11.25">
      <c r="C102" s="7"/>
    </row>
    <row r="103" ht="11.25">
      <c r="C103" s="7"/>
    </row>
    <row r="104" ht="11.25">
      <c r="C104" s="7"/>
    </row>
    <row r="105" ht="11.25">
      <c r="C105" s="7"/>
    </row>
    <row r="106" ht="11.25">
      <c r="C106" s="7"/>
    </row>
    <row r="107" ht="11.25">
      <c r="C107" s="7"/>
    </row>
    <row r="108" ht="11.25">
      <c r="C108" s="7"/>
    </row>
    <row r="109" ht="11.25">
      <c r="C109" s="7"/>
    </row>
    <row r="110" ht="11.25">
      <c r="C110" s="7"/>
    </row>
    <row r="111" ht="11.25">
      <c r="C111" s="7"/>
    </row>
    <row r="112" ht="11.25">
      <c r="C112" s="7"/>
    </row>
    <row r="113" ht="11.25">
      <c r="C113" s="7"/>
    </row>
    <row r="114" ht="11.25">
      <c r="C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34" ht="11.25">
      <c r="C134" s="7"/>
    </row>
    <row r="135" ht="11.25">
      <c r="C135" s="7"/>
    </row>
    <row r="136" ht="11.25">
      <c r="C136" s="7"/>
    </row>
    <row r="137" ht="11.25">
      <c r="C137" s="7"/>
    </row>
    <row r="138" ht="11.25">
      <c r="C138" s="7"/>
    </row>
    <row r="139" ht="11.25">
      <c r="C139" s="7"/>
    </row>
    <row r="140" ht="11.25">
      <c r="C140" s="7"/>
    </row>
    <row r="141" ht="11.25">
      <c r="C141" s="7"/>
    </row>
    <row r="142" ht="11.25">
      <c r="C142" s="7"/>
    </row>
    <row r="143" ht="11.25">
      <c r="C143" s="7"/>
    </row>
    <row r="144" ht="11.25">
      <c r="C144" s="7"/>
    </row>
    <row r="145" ht="11.25">
      <c r="C145" s="7"/>
    </row>
    <row r="146" ht="11.25">
      <c r="C146" s="7"/>
    </row>
    <row r="147" ht="11.25">
      <c r="C147" s="7"/>
    </row>
    <row r="148" ht="11.25">
      <c r="C148" s="7"/>
    </row>
    <row r="149" ht="11.25">
      <c r="C149" s="7"/>
    </row>
    <row r="150" ht="11.25">
      <c r="C150" s="7"/>
    </row>
    <row r="151" ht="11.25">
      <c r="C151" s="7"/>
    </row>
    <row r="152" ht="11.25">
      <c r="C152" s="7"/>
    </row>
    <row r="153" ht="11.25">
      <c r="C153" s="7"/>
    </row>
    <row r="154" ht="11.25">
      <c r="C154" s="7"/>
    </row>
    <row r="155" ht="11.25">
      <c r="C155" s="7"/>
    </row>
    <row r="156" ht="11.25">
      <c r="C156" s="7"/>
    </row>
    <row r="157" ht="11.25">
      <c r="C157" s="7"/>
    </row>
    <row r="158" ht="11.25">
      <c r="C158" s="7"/>
    </row>
    <row r="159" ht="11.25">
      <c r="C159" s="7"/>
    </row>
    <row r="160" ht="11.25">
      <c r="C160" s="7"/>
    </row>
    <row r="161" ht="11.25">
      <c r="C161" s="7"/>
    </row>
    <row r="162" ht="11.25">
      <c r="C162" s="7"/>
    </row>
    <row r="163" ht="11.25">
      <c r="C163" s="7"/>
    </row>
    <row r="164" ht="11.25">
      <c r="C164" s="7"/>
    </row>
    <row r="165" ht="11.25">
      <c r="C165" s="7"/>
    </row>
    <row r="166" ht="11.25">
      <c r="C166" s="7"/>
    </row>
    <row r="167" ht="11.25">
      <c r="C167" s="7"/>
    </row>
    <row r="168" ht="11.25">
      <c r="C168" s="7"/>
    </row>
    <row r="169" ht="11.25">
      <c r="C169" s="7"/>
    </row>
    <row r="170" ht="11.25">
      <c r="C170" s="7"/>
    </row>
    <row r="171" ht="11.25">
      <c r="C171" s="7"/>
    </row>
    <row r="172" ht="11.25">
      <c r="C172" s="7"/>
    </row>
    <row r="173" ht="11.25">
      <c r="C173" s="7"/>
    </row>
    <row r="174" ht="11.25">
      <c r="C174" s="7"/>
    </row>
    <row r="175" ht="11.25">
      <c r="C175" s="7"/>
    </row>
    <row r="176" ht="11.25">
      <c r="C176" s="7"/>
    </row>
    <row r="177" ht="11.25">
      <c r="C177" s="7"/>
    </row>
    <row r="178" ht="11.25">
      <c r="C178" s="7"/>
    </row>
    <row r="179" ht="11.25">
      <c r="C179" s="7"/>
    </row>
    <row r="180" ht="11.25">
      <c r="C180" s="7"/>
    </row>
    <row r="181" ht="11.25">
      <c r="C181" s="7"/>
    </row>
    <row r="182" ht="11.25">
      <c r="C182" s="7"/>
    </row>
    <row r="183" ht="11.25">
      <c r="C183" s="7"/>
    </row>
    <row r="184" ht="11.25">
      <c r="C184" s="7"/>
    </row>
    <row r="185" ht="11.25">
      <c r="C185" s="7"/>
    </row>
    <row r="186" ht="11.25">
      <c r="C186" s="7"/>
    </row>
    <row r="187" ht="11.25">
      <c r="C187" s="7"/>
    </row>
    <row r="188" ht="11.25">
      <c r="C188" s="7"/>
    </row>
    <row r="189" ht="11.25">
      <c r="C189" s="7"/>
    </row>
    <row r="190" ht="11.25">
      <c r="C190" s="7"/>
    </row>
    <row r="191" ht="11.25">
      <c r="C191" s="7"/>
    </row>
    <row r="192" ht="11.25">
      <c r="C192" s="7"/>
    </row>
    <row r="193" ht="11.25">
      <c r="C193" s="7"/>
    </row>
    <row r="194" ht="11.25">
      <c r="C194" s="7"/>
    </row>
    <row r="195" ht="11.25">
      <c r="C195" s="7"/>
    </row>
    <row r="196" ht="11.25">
      <c r="C196" s="7"/>
    </row>
    <row r="197" ht="11.25">
      <c r="C197" s="7"/>
    </row>
    <row r="198" ht="11.25">
      <c r="C198" s="7"/>
    </row>
    <row r="199" ht="11.25">
      <c r="C199" s="7"/>
    </row>
    <row r="200" ht="11.25">
      <c r="C200" s="7"/>
    </row>
    <row r="201" ht="11.25">
      <c r="C201" s="7"/>
    </row>
    <row r="202" ht="11.25">
      <c r="C202" s="7"/>
    </row>
    <row r="203" ht="11.25">
      <c r="C203" s="7"/>
    </row>
    <row r="204" ht="11.25">
      <c r="C204" s="7"/>
    </row>
    <row r="205" ht="11.25">
      <c r="C205" s="7"/>
    </row>
    <row r="206" ht="11.25">
      <c r="C206" s="7"/>
    </row>
    <row r="207" ht="11.25">
      <c r="C207" s="7"/>
    </row>
    <row r="208" ht="11.25">
      <c r="C208" s="7"/>
    </row>
    <row r="209" ht="11.25">
      <c r="C209" s="7"/>
    </row>
    <row r="210" ht="11.25">
      <c r="C210" s="7"/>
    </row>
    <row r="211" ht="11.25">
      <c r="C211" s="7"/>
    </row>
    <row r="212" ht="11.25">
      <c r="C212" s="7"/>
    </row>
    <row r="213" ht="11.25">
      <c r="C213" s="7"/>
    </row>
    <row r="214" ht="11.25">
      <c r="C214" s="7"/>
    </row>
    <row r="215" ht="11.25">
      <c r="C215" s="7"/>
    </row>
    <row r="216" ht="11.25">
      <c r="C216" s="7"/>
    </row>
    <row r="217" ht="11.25">
      <c r="C217" s="7"/>
    </row>
    <row r="218" ht="11.25">
      <c r="C218" s="7"/>
    </row>
    <row r="219" ht="11.25">
      <c r="C219" s="7"/>
    </row>
    <row r="220" ht="11.25">
      <c r="C220" s="7"/>
    </row>
    <row r="221" ht="11.25">
      <c r="C221" s="7"/>
    </row>
    <row r="222" ht="11.25">
      <c r="C222" s="7"/>
    </row>
    <row r="223" ht="11.25">
      <c r="C223" s="7"/>
    </row>
    <row r="224" ht="11.25">
      <c r="C224" s="7"/>
    </row>
    <row r="225" ht="11.25">
      <c r="C225" s="7"/>
    </row>
    <row r="226" ht="11.25">
      <c r="C226" s="7"/>
    </row>
    <row r="227" ht="11.25">
      <c r="C227" s="7"/>
    </row>
    <row r="228" ht="11.25">
      <c r="C228" s="7"/>
    </row>
    <row r="229" ht="11.25">
      <c r="C229" s="7"/>
    </row>
    <row r="230" ht="11.25">
      <c r="C230" s="7"/>
    </row>
    <row r="231" ht="11.25">
      <c r="C231" s="7"/>
    </row>
    <row r="232" ht="11.25">
      <c r="C232" s="7"/>
    </row>
    <row r="233" ht="11.25">
      <c r="C233" s="7"/>
    </row>
    <row r="234" ht="11.25">
      <c r="C234" s="7"/>
    </row>
    <row r="235" ht="11.25">
      <c r="C235" s="7"/>
    </row>
    <row r="236" ht="11.25">
      <c r="C236" s="7"/>
    </row>
    <row r="237" ht="11.25">
      <c r="C237" s="7"/>
    </row>
    <row r="238" ht="11.25">
      <c r="C238" s="7"/>
    </row>
    <row r="239" ht="11.25">
      <c r="C239" s="7"/>
    </row>
    <row r="240" ht="11.25">
      <c r="C240" s="7"/>
    </row>
    <row r="241" ht="11.25">
      <c r="C241" s="7"/>
    </row>
    <row r="242" ht="11.25">
      <c r="C242" s="7"/>
    </row>
    <row r="243" ht="11.25">
      <c r="C243" s="7"/>
    </row>
    <row r="244" ht="11.25">
      <c r="C244" s="7"/>
    </row>
    <row r="245" ht="11.25">
      <c r="C245" s="7"/>
    </row>
    <row r="246" ht="11.25">
      <c r="C246" s="7"/>
    </row>
    <row r="247" ht="11.25">
      <c r="C247" s="7"/>
    </row>
    <row r="248" ht="11.25">
      <c r="C248" s="7"/>
    </row>
    <row r="249" ht="11.25">
      <c r="C249" s="7"/>
    </row>
    <row r="250" ht="11.25">
      <c r="C250" s="7"/>
    </row>
    <row r="251" ht="11.25">
      <c r="C251" s="7"/>
    </row>
    <row r="252" ht="11.25">
      <c r="C252" s="7"/>
    </row>
    <row r="253" ht="11.25">
      <c r="C253" s="7"/>
    </row>
  </sheetData>
  <sheetProtection/>
  <mergeCells count="6">
    <mergeCell ref="B1:M1"/>
    <mergeCell ref="B2:M2"/>
    <mergeCell ref="B4:M4"/>
    <mergeCell ref="B5:M5"/>
    <mergeCell ref="B6:M6"/>
    <mergeCell ref="B3:M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R41"/>
  <sheetViews>
    <sheetView zoomScalePageLayoutView="0" workbookViewId="0" topLeftCell="A1">
      <pane xSplit="5" ySplit="9" topLeftCell="F25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G41" sqref="G41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5.421875" style="15" customWidth="1"/>
    <col min="4" max="4" width="5.57421875" style="15" customWidth="1"/>
    <col min="5" max="5" width="22.421875" style="15" bestFit="1" customWidth="1"/>
    <col min="6" max="6" width="1.421875" style="15" customWidth="1"/>
    <col min="7" max="7" width="13.421875" style="69" bestFit="1" customWidth="1"/>
    <col min="8" max="8" width="0.85546875" style="69" customWidth="1"/>
    <col min="9" max="9" width="11.00390625" style="69" bestFit="1" customWidth="1"/>
    <col min="10" max="10" width="0.85546875" style="69" customWidth="1"/>
    <col min="11" max="11" width="12.57421875" style="69" customWidth="1"/>
    <col min="12" max="12" width="0.85546875" style="69" customWidth="1"/>
    <col min="13" max="13" width="10.00390625" style="69" bestFit="1" customWidth="1"/>
    <col min="14" max="14" width="0.85546875" style="69" customWidth="1"/>
    <col min="15" max="15" width="13.421875" style="69" bestFit="1" customWidth="1"/>
    <col min="16" max="16" width="1.57421875" style="15" customWidth="1"/>
    <col min="17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2" t="s">
        <v>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6">
        <v>2016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82"/>
      <c r="I7" s="182"/>
    </row>
    <row r="8" spans="7:15" ht="11.25">
      <c r="G8" s="182"/>
      <c r="I8" s="182"/>
      <c r="K8" s="169"/>
      <c r="M8" s="182" t="s">
        <v>37</v>
      </c>
      <c r="O8" s="182"/>
    </row>
    <row r="9" spans="3:15" ht="11.25">
      <c r="C9" s="17"/>
      <c r="D9" s="17"/>
      <c r="E9" s="17"/>
      <c r="F9" s="17"/>
      <c r="G9" s="188" t="s">
        <v>104</v>
      </c>
      <c r="H9" s="67"/>
      <c r="I9" s="188" t="s">
        <v>105</v>
      </c>
      <c r="J9" s="67"/>
      <c r="K9" s="188" t="s">
        <v>106</v>
      </c>
      <c r="M9" s="183" t="s">
        <v>38</v>
      </c>
      <c r="N9" s="82"/>
      <c r="O9" s="183" t="s">
        <v>39</v>
      </c>
    </row>
    <row r="10" spans="3:6" ht="11.25">
      <c r="C10" s="17"/>
      <c r="D10" s="17"/>
      <c r="E10" s="17"/>
      <c r="F10" s="17"/>
    </row>
    <row r="11" spans="2:15" ht="11.25">
      <c r="B11" s="2" t="s">
        <v>83</v>
      </c>
      <c r="C11" s="17"/>
      <c r="D11" s="17"/>
      <c r="E11" s="17"/>
      <c r="F11" s="17"/>
      <c r="G11" s="70">
        <f>'IS - 2016'!E35</f>
        <v>-111329.93302528765</v>
      </c>
      <c r="H11" s="70"/>
      <c r="I11" s="70">
        <f>'IS - 2016'!G35</f>
        <v>1575.7928401857384</v>
      </c>
      <c r="J11" s="70"/>
      <c r="K11" s="70">
        <f>'IS - 2016'!I35</f>
        <v>-7197.291666666666</v>
      </c>
      <c r="L11" s="70"/>
      <c r="M11" s="70">
        <v>0</v>
      </c>
      <c r="N11" s="70"/>
      <c r="O11" s="70">
        <f>'IS - 2016'!M35</f>
        <v>-116951.43185176859</v>
      </c>
    </row>
    <row r="12" spans="3:6" ht="11.25">
      <c r="C12" s="17"/>
      <c r="D12" s="17"/>
      <c r="E12" s="17"/>
      <c r="F12" s="17"/>
    </row>
    <row r="13" spans="2:6" ht="11.25">
      <c r="B13" s="2" t="s">
        <v>84</v>
      </c>
      <c r="C13" s="17"/>
      <c r="D13" s="17"/>
      <c r="E13" s="17"/>
      <c r="F13" s="17"/>
    </row>
    <row r="14" spans="3:15" ht="11.25">
      <c r="C14" s="27" t="s">
        <v>26</v>
      </c>
      <c r="D14" s="27"/>
      <c r="E14" s="27"/>
      <c r="F14" s="27"/>
      <c r="G14" s="69">
        <v>0</v>
      </c>
      <c r="I14" s="69">
        <v>0</v>
      </c>
      <c r="K14" s="69">
        <v>0</v>
      </c>
      <c r="M14" s="69">
        <v>0</v>
      </c>
      <c r="N14" s="153"/>
      <c r="O14" s="69">
        <v>0</v>
      </c>
    </row>
    <row r="15" spans="3:15" ht="11.25">
      <c r="C15" s="27" t="s">
        <v>1</v>
      </c>
      <c r="D15" s="27"/>
      <c r="E15" s="27"/>
      <c r="F15" s="27"/>
      <c r="G15" s="69">
        <v>555.5699697260279</v>
      </c>
      <c r="I15" s="69">
        <v>-3423.613231643835</v>
      </c>
      <c r="K15" s="69">
        <v>0</v>
      </c>
      <c r="M15" s="69">
        <v>2868.0432619178073</v>
      </c>
      <c r="N15" s="153"/>
      <c r="O15" s="69">
        <v>0</v>
      </c>
    </row>
    <row r="16" spans="3:15" ht="11.25">
      <c r="C16" s="27" t="s">
        <v>57</v>
      </c>
      <c r="D16" s="27"/>
      <c r="E16" s="27"/>
      <c r="F16" s="27"/>
      <c r="G16" s="82">
        <v>-524.2008922739733</v>
      </c>
      <c r="H16" s="82"/>
      <c r="I16" s="82">
        <v>3205.1022400697466</v>
      </c>
      <c r="J16" s="82"/>
      <c r="K16" s="82">
        <v>0</v>
      </c>
      <c r="L16" s="82"/>
      <c r="M16" s="82">
        <v>0</v>
      </c>
      <c r="N16" s="184"/>
      <c r="O16" s="82">
        <v>2680.9013477957733</v>
      </c>
    </row>
    <row r="17" spans="3:15" ht="11.25">
      <c r="C17" s="27" t="s">
        <v>2</v>
      </c>
      <c r="D17" s="27"/>
      <c r="E17" s="27"/>
      <c r="F17" s="27"/>
      <c r="G17" s="69">
        <v>4028.7802616438357</v>
      </c>
      <c r="I17" s="69">
        <v>-1160.5706197260279</v>
      </c>
      <c r="K17" s="69">
        <v>0</v>
      </c>
      <c r="M17" s="69">
        <v>-2868.209641917808</v>
      </c>
      <c r="N17" s="184"/>
      <c r="O17" s="82">
        <v>0</v>
      </c>
    </row>
    <row r="18" spans="3:15" ht="11.25">
      <c r="C18" s="15" t="s">
        <v>5</v>
      </c>
      <c r="D18" s="27"/>
      <c r="E18" s="27"/>
      <c r="F18" s="27"/>
      <c r="G18" s="82">
        <v>0</v>
      </c>
      <c r="H18" s="82"/>
      <c r="I18" s="82">
        <v>377.653</v>
      </c>
      <c r="J18" s="82"/>
      <c r="K18" s="82">
        <v>0</v>
      </c>
      <c r="L18" s="82"/>
      <c r="M18" s="82">
        <v>0</v>
      </c>
      <c r="N18" s="184"/>
      <c r="O18" s="82">
        <v>377.653</v>
      </c>
    </row>
    <row r="19" spans="3:15" ht="11.25">
      <c r="C19" s="2" t="s">
        <v>109</v>
      </c>
      <c r="D19" s="27"/>
      <c r="E19" s="27"/>
      <c r="F19" s="27"/>
      <c r="G19" s="82">
        <v>3060.95</v>
      </c>
      <c r="H19" s="82"/>
      <c r="I19" s="82">
        <v>4783.65</v>
      </c>
      <c r="J19" s="82"/>
      <c r="K19" s="82">
        <v>0</v>
      </c>
      <c r="L19" s="82"/>
      <c r="M19" s="82">
        <v>0</v>
      </c>
      <c r="N19" s="184"/>
      <c r="O19" s="82">
        <f>G19+I19</f>
        <v>7844.599999999999</v>
      </c>
    </row>
    <row r="20" spans="3:15" ht="11.25">
      <c r="C20" s="15" t="s">
        <v>6</v>
      </c>
      <c r="D20" s="27"/>
      <c r="E20" s="27"/>
      <c r="F20" s="27"/>
      <c r="G20" s="82">
        <v>0</v>
      </c>
      <c r="H20" s="82"/>
      <c r="I20" s="82">
        <v>0</v>
      </c>
      <c r="J20" s="82"/>
      <c r="K20" s="82">
        <v>0</v>
      </c>
      <c r="L20" s="82"/>
      <c r="M20" s="82">
        <v>0</v>
      </c>
      <c r="N20" s="184"/>
      <c r="O20" s="82">
        <v>0</v>
      </c>
    </row>
    <row r="21" spans="3:15" ht="11.25">
      <c r="C21" s="27" t="s">
        <v>58</v>
      </c>
      <c r="D21" s="27"/>
      <c r="E21" s="27"/>
      <c r="F21" s="27"/>
      <c r="G21" s="82">
        <v>0</v>
      </c>
      <c r="H21" s="82"/>
      <c r="I21" s="82">
        <v>0</v>
      </c>
      <c r="J21" s="82"/>
      <c r="K21" s="82">
        <v>0</v>
      </c>
      <c r="L21" s="82"/>
      <c r="M21" s="82">
        <v>0</v>
      </c>
      <c r="N21" s="184"/>
      <c r="O21" s="82">
        <v>0</v>
      </c>
    </row>
    <row r="22" spans="2:15" ht="11.25">
      <c r="B22" s="2" t="s">
        <v>30</v>
      </c>
      <c r="C22" s="27"/>
      <c r="D22" s="27"/>
      <c r="E22" s="27"/>
      <c r="F22" s="27"/>
      <c r="G22" s="185">
        <f>SUM(G14:G21)</f>
        <v>7121.09933909589</v>
      </c>
      <c r="H22" s="82"/>
      <c r="I22" s="185">
        <f>SUM(I14:I21)</f>
        <v>3782.2213886998834</v>
      </c>
      <c r="J22" s="82"/>
      <c r="K22" s="185">
        <v>0</v>
      </c>
      <c r="L22" s="82"/>
      <c r="M22" s="185">
        <v>0</v>
      </c>
      <c r="N22" s="184"/>
      <c r="O22" s="185">
        <f>G22+I22</f>
        <v>10903.320727795774</v>
      </c>
    </row>
    <row r="23" spans="3:14" ht="11.25">
      <c r="C23" s="27"/>
      <c r="D23" s="27"/>
      <c r="E23" s="27"/>
      <c r="F23" s="27"/>
      <c r="N23" s="153"/>
    </row>
    <row r="24" spans="2:15" ht="11.25">
      <c r="B24" s="2" t="s">
        <v>88</v>
      </c>
      <c r="C24" s="27"/>
      <c r="D24" s="27"/>
      <c r="E24" s="27"/>
      <c r="F24" s="27"/>
      <c r="G24" s="69">
        <f>G11+G22</f>
        <v>-104208.83368619176</v>
      </c>
      <c r="H24" s="69">
        <f aca="true" t="shared" si="0" ref="H24:M24">H11+H22</f>
        <v>0</v>
      </c>
      <c r="I24" s="69">
        <f t="shared" si="0"/>
        <v>5358.014228885622</v>
      </c>
      <c r="J24" s="69">
        <f t="shared" si="0"/>
        <v>0</v>
      </c>
      <c r="K24" s="69">
        <f t="shared" si="0"/>
        <v>-7197.291666666666</v>
      </c>
      <c r="L24" s="69">
        <f t="shared" si="0"/>
        <v>0</v>
      </c>
      <c r="M24" s="69">
        <f t="shared" si="0"/>
        <v>0</v>
      </c>
      <c r="N24" s="153"/>
      <c r="O24" s="69">
        <v>-19028.523798408136</v>
      </c>
    </row>
    <row r="25" spans="7:15" ht="11.25">
      <c r="G25" s="184"/>
      <c r="H25" s="153"/>
      <c r="I25" s="184"/>
      <c r="J25" s="153"/>
      <c r="K25" s="153"/>
      <c r="L25" s="153"/>
      <c r="M25" s="184"/>
      <c r="N25" s="153"/>
      <c r="O25" s="184"/>
    </row>
    <row r="26" spans="3:15" ht="11.25">
      <c r="C26" s="116" t="s">
        <v>110</v>
      </c>
      <c r="G26" s="69">
        <v>-1000</v>
      </c>
      <c r="I26" s="69">
        <v>-2000</v>
      </c>
      <c r="K26" s="69">
        <v>0</v>
      </c>
      <c r="M26" s="69">
        <v>0</v>
      </c>
      <c r="N26" s="153"/>
      <c r="O26" s="69">
        <f>G26+I26</f>
        <v>-3000</v>
      </c>
    </row>
    <row r="27" spans="3:15" ht="11.25">
      <c r="C27" s="15" t="s">
        <v>56</v>
      </c>
      <c r="G27" s="69">
        <v>0</v>
      </c>
      <c r="I27" s="69">
        <v>0</v>
      </c>
      <c r="K27" s="69">
        <v>0</v>
      </c>
      <c r="M27" s="69">
        <v>0</v>
      </c>
      <c r="N27" s="153"/>
      <c r="O27" s="69">
        <v>0</v>
      </c>
    </row>
    <row r="28" spans="3:15" ht="11.25">
      <c r="C28" s="29" t="s">
        <v>55</v>
      </c>
      <c r="G28" s="69">
        <v>8208.920000000013</v>
      </c>
      <c r="I28" s="69">
        <v>207.02000000000044</v>
      </c>
      <c r="K28" s="69">
        <v>0</v>
      </c>
      <c r="M28" s="69">
        <v>0</v>
      </c>
      <c r="N28" s="153"/>
      <c r="O28" s="69">
        <v>8415.940000000013</v>
      </c>
    </row>
    <row r="29" spans="2:14" ht="11.25">
      <c r="B29" s="29"/>
      <c r="N29" s="153"/>
    </row>
    <row r="30" spans="2:15" ht="11.25">
      <c r="B30" s="116" t="s">
        <v>85</v>
      </c>
      <c r="G30" s="185">
        <f>G26+G28</f>
        <v>7208.920000000013</v>
      </c>
      <c r="I30" s="185">
        <f>I26+I28</f>
        <v>-1792.9799999999996</v>
      </c>
      <c r="K30" s="185">
        <v>0</v>
      </c>
      <c r="M30" s="185">
        <v>0</v>
      </c>
      <c r="N30" s="153"/>
      <c r="O30" s="185">
        <f>G30+I30</f>
        <v>5415.940000000013</v>
      </c>
    </row>
    <row r="31" spans="2:14" ht="11.25">
      <c r="B31" s="29"/>
      <c r="N31" s="153"/>
    </row>
    <row r="32" spans="3:15" ht="11.25">
      <c r="C32" s="117" t="s">
        <v>95</v>
      </c>
      <c r="D32" s="19"/>
      <c r="E32" s="19"/>
      <c r="F32" s="19"/>
      <c r="G32" s="82">
        <v>0</v>
      </c>
      <c r="H32" s="82"/>
      <c r="I32" s="82">
        <v>0</v>
      </c>
      <c r="J32" s="82"/>
      <c r="K32" s="82">
        <v>10000</v>
      </c>
      <c r="L32" s="82"/>
      <c r="M32" s="82">
        <v>0</v>
      </c>
      <c r="N32" s="153"/>
      <c r="O32" s="69">
        <v>10000</v>
      </c>
    </row>
    <row r="33" spans="3:15" ht="11.25">
      <c r="C33" s="27" t="s">
        <v>96</v>
      </c>
      <c r="D33" s="19"/>
      <c r="E33" s="19"/>
      <c r="F33" s="19"/>
      <c r="G33" s="82">
        <v>-16666.666000000027</v>
      </c>
      <c r="H33" s="82"/>
      <c r="I33" s="82">
        <v>-8000</v>
      </c>
      <c r="J33" s="82"/>
      <c r="K33" s="82">
        <v>-8000</v>
      </c>
      <c r="L33" s="82"/>
      <c r="M33" s="82">
        <v>0</v>
      </c>
      <c r="N33" s="153"/>
      <c r="O33" s="69">
        <v>-32666.666000000027</v>
      </c>
    </row>
    <row r="34" spans="7:16" ht="11.25">
      <c r="G34" s="82"/>
      <c r="H34" s="82"/>
      <c r="I34" s="82"/>
      <c r="J34" s="82"/>
      <c r="K34" s="82"/>
      <c r="L34" s="82"/>
      <c r="M34" s="82"/>
      <c r="N34" s="82"/>
      <c r="O34" s="82"/>
      <c r="P34" s="24"/>
    </row>
    <row r="35" spans="2:15" ht="11.25">
      <c r="B35" s="2" t="s">
        <v>86</v>
      </c>
      <c r="G35" s="185">
        <v>-16666.666000000027</v>
      </c>
      <c r="I35" s="185">
        <v>-8000</v>
      </c>
      <c r="K35" s="185">
        <v>2000</v>
      </c>
      <c r="M35" s="185">
        <v>0</v>
      </c>
      <c r="O35" s="185">
        <v>-22666.666000000027</v>
      </c>
    </row>
    <row r="37" spans="2:18" ht="12" thickBot="1">
      <c r="B37" s="2" t="s">
        <v>87</v>
      </c>
      <c r="G37" s="186">
        <f>G24+G30+G35</f>
        <v>-113666.57968619178</v>
      </c>
      <c r="H37" s="186">
        <f>H24+H30+H35</f>
        <v>0</v>
      </c>
      <c r="I37" s="186">
        <f>I24+I30+I35</f>
        <v>-4434.965771114377</v>
      </c>
      <c r="J37" s="186">
        <f>J24+J30+J35</f>
        <v>0</v>
      </c>
      <c r="K37" s="186">
        <f>K24+K30+K35</f>
        <v>-5197.291666666666</v>
      </c>
      <c r="M37" s="186">
        <v>0</v>
      </c>
      <c r="O37" s="186">
        <v>-28434.64979840815</v>
      </c>
      <c r="R37" s="193"/>
    </row>
    <row r="38" ht="12" thickTop="1"/>
    <row r="39" spans="2:15" ht="11.25">
      <c r="B39" s="2" t="s">
        <v>93</v>
      </c>
      <c r="G39" s="70">
        <v>99928.6766</v>
      </c>
      <c r="H39" s="70"/>
      <c r="I39" s="70">
        <v>226.44314</v>
      </c>
      <c r="J39" s="70"/>
      <c r="K39" s="70">
        <v>10000</v>
      </c>
      <c r="L39" s="70"/>
      <c r="M39" s="70">
        <v>0</v>
      </c>
      <c r="N39" s="70"/>
      <c r="O39" s="70">
        <f>SUM(G39:M39)</f>
        <v>110155.11974000001</v>
      </c>
    </row>
    <row r="40" spans="2:15" ht="11.25">
      <c r="B40" s="2" t="s">
        <v>92</v>
      </c>
      <c r="G40" s="67">
        <f>G37</f>
        <v>-113666.57968619178</v>
      </c>
      <c r="H40" s="67">
        <f>H37</f>
        <v>0</v>
      </c>
      <c r="I40" s="67">
        <f>I37</f>
        <v>-4434.965771114377</v>
      </c>
      <c r="J40" s="67">
        <f>J37</f>
        <v>0</v>
      </c>
      <c r="K40" s="67">
        <f>K37</f>
        <v>-5197.291666666666</v>
      </c>
      <c r="M40" s="67">
        <v>0</v>
      </c>
      <c r="O40" s="69">
        <f>SUM(G40:M40)</f>
        <v>-123298.83712397283</v>
      </c>
    </row>
    <row r="41" spans="2:15" ht="11.25">
      <c r="B41" s="2" t="s">
        <v>94</v>
      </c>
      <c r="G41" s="187">
        <f>G39+G40</f>
        <v>-13737.90308619177</v>
      </c>
      <c r="H41" s="187">
        <f>H39+H40</f>
        <v>0</v>
      </c>
      <c r="I41" s="187">
        <f>I39+I40</f>
        <v>-4208.522631114377</v>
      </c>
      <c r="J41" s="187">
        <f>J39+J40</f>
        <v>0</v>
      </c>
      <c r="K41" s="187">
        <f>K39+K40</f>
        <v>4802.708333333334</v>
      </c>
      <c r="L41" s="70"/>
      <c r="M41" s="187">
        <v>0</v>
      </c>
      <c r="N41" s="70"/>
      <c r="O41" s="187">
        <f>O39+O40</f>
        <v>-13143.71738397282</v>
      </c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R45"/>
  <sheetViews>
    <sheetView zoomScalePageLayoutView="0" workbookViewId="0" topLeftCell="A1">
      <pane xSplit="5" ySplit="9" topLeftCell="F28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G39" sqref="G39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5.421875" style="15" customWidth="1"/>
    <col min="4" max="4" width="5.57421875" style="15" customWidth="1"/>
    <col min="5" max="5" width="22.421875" style="15" bestFit="1" customWidth="1"/>
    <col min="6" max="6" width="1.421875" style="15" customWidth="1"/>
    <col min="7" max="7" width="11.57421875" style="15" bestFit="1" customWidth="1"/>
    <col min="8" max="8" width="0.85546875" style="15" customWidth="1"/>
    <col min="9" max="9" width="11.00390625" style="15" bestFit="1" customWidth="1"/>
    <col min="10" max="10" width="0.85546875" style="15" customWidth="1"/>
    <col min="11" max="11" width="12.57421875" style="15" customWidth="1"/>
    <col min="12" max="12" width="0.85546875" style="15" customWidth="1"/>
    <col min="13" max="13" width="10.00390625" style="15" bestFit="1" customWidth="1"/>
    <col min="14" max="14" width="0.85546875" style="15" customWidth="1"/>
    <col min="15" max="15" width="11.57421875" style="15" bestFit="1" customWidth="1"/>
    <col min="16" max="16" width="1.57421875" style="15" customWidth="1"/>
    <col min="17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2" t="s">
        <v>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6">
        <v>2017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6"/>
      <c r="I7" s="16"/>
    </row>
    <row r="8" spans="7:15" ht="11.25">
      <c r="G8" s="16"/>
      <c r="I8" s="16"/>
      <c r="K8" s="11"/>
      <c r="M8" s="16" t="s">
        <v>37</v>
      </c>
      <c r="O8" s="16"/>
    </row>
    <row r="9" spans="3:15" ht="11.25">
      <c r="C9" s="17"/>
      <c r="D9" s="17"/>
      <c r="E9" s="17"/>
      <c r="F9" s="17"/>
      <c r="G9" s="4" t="s">
        <v>104</v>
      </c>
      <c r="H9" s="2"/>
      <c r="I9" s="4" t="s">
        <v>105</v>
      </c>
      <c r="J9" s="2"/>
      <c r="K9" s="4" t="s">
        <v>106</v>
      </c>
      <c r="M9" s="26" t="s">
        <v>38</v>
      </c>
      <c r="N9" s="24"/>
      <c r="O9" s="26" t="s">
        <v>39</v>
      </c>
    </row>
    <row r="10" spans="3:15" ht="11.25">
      <c r="C10" s="17"/>
      <c r="D10" s="17"/>
      <c r="E10" s="17"/>
      <c r="F10" s="17"/>
      <c r="G10" s="18"/>
      <c r="M10" s="18"/>
      <c r="O10" s="18"/>
    </row>
    <row r="11" spans="2:16" ht="11.25">
      <c r="B11" s="2" t="s">
        <v>83</v>
      </c>
      <c r="C11" s="17"/>
      <c r="D11" s="17"/>
      <c r="E11" s="17"/>
      <c r="F11" s="17"/>
      <c r="G11" s="70">
        <f>'IS - 2017'!E35</f>
        <v>-15151.410961945201</v>
      </c>
      <c r="H11" s="70">
        <f>'IS - 2017'!F35</f>
        <v>0</v>
      </c>
      <c r="I11" s="70">
        <f>'IS - 2017'!G35</f>
        <v>-2900.3929554902625</v>
      </c>
      <c r="J11" s="70">
        <f>'IS - 2017'!H35</f>
        <v>0</v>
      </c>
      <c r="K11" s="70">
        <f>'IS - 2017'!I35</f>
        <v>-6794.2508333333335</v>
      </c>
      <c r="L11" s="70">
        <f>'IS - 2017'!J35</f>
        <v>0</v>
      </c>
      <c r="M11" s="70">
        <f>'IS - 2017'!K35</f>
        <v>0</v>
      </c>
      <c r="N11" s="70"/>
      <c r="O11" s="70">
        <f>G11+I11+K11</f>
        <v>-24846.054750768795</v>
      </c>
      <c r="P11" s="69"/>
    </row>
    <row r="12" spans="3:16" ht="11.25">
      <c r="C12" s="17"/>
      <c r="D12" s="17"/>
      <c r="E12" s="17"/>
      <c r="F12" s="17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 ht="11.25">
      <c r="B13" s="2" t="s">
        <v>84</v>
      </c>
      <c r="C13" s="17"/>
      <c r="D13" s="17"/>
      <c r="E13" s="17"/>
      <c r="F13" s="17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3:16" ht="11.25">
      <c r="C14" s="27" t="s">
        <v>26</v>
      </c>
      <c r="D14" s="27"/>
      <c r="E14" s="27"/>
      <c r="F14" s="27"/>
      <c r="G14" s="69">
        <v>0.2095300000000293</v>
      </c>
      <c r="H14" s="69"/>
      <c r="I14" s="69">
        <v>-2908.9032285342473</v>
      </c>
      <c r="J14" s="69"/>
      <c r="K14" s="69">
        <v>0</v>
      </c>
      <c r="L14" s="69"/>
      <c r="M14" s="69">
        <v>0</v>
      </c>
      <c r="N14" s="153"/>
      <c r="O14" s="69">
        <v>-2908.6936985342472</v>
      </c>
      <c r="P14" s="69"/>
    </row>
    <row r="15" spans="3:16" ht="11.25">
      <c r="C15" s="27" t="s">
        <v>1</v>
      </c>
      <c r="D15" s="27"/>
      <c r="E15" s="27"/>
      <c r="F15" s="27"/>
      <c r="G15" s="69">
        <v>-86.30136986301386</v>
      </c>
      <c r="H15" s="69"/>
      <c r="I15" s="69">
        <v>366.01020300000073</v>
      </c>
      <c r="J15" s="69"/>
      <c r="K15" s="69">
        <v>0</v>
      </c>
      <c r="L15" s="69"/>
      <c r="M15" s="69">
        <v>-279.70883313698687</v>
      </c>
      <c r="N15" s="153"/>
      <c r="O15" s="69">
        <v>0</v>
      </c>
      <c r="P15" s="69"/>
    </row>
    <row r="16" spans="3:16" ht="11.25">
      <c r="C16" s="27" t="s">
        <v>57</v>
      </c>
      <c r="D16" s="27"/>
      <c r="E16" s="27"/>
      <c r="F16" s="27"/>
      <c r="G16" s="82">
        <v>-524.2008922739733</v>
      </c>
      <c r="H16" s="82"/>
      <c r="I16" s="82">
        <v>0</v>
      </c>
      <c r="J16" s="82"/>
      <c r="K16" s="82">
        <v>0</v>
      </c>
      <c r="L16" s="82"/>
      <c r="M16" s="82">
        <v>0</v>
      </c>
      <c r="N16" s="184"/>
      <c r="O16" s="69">
        <v>-524.2008922739733</v>
      </c>
      <c r="P16" s="69"/>
    </row>
    <row r="17" spans="3:16" ht="11.25">
      <c r="C17" s="27" t="s">
        <v>2</v>
      </c>
      <c r="D17" s="27"/>
      <c r="E17" s="27"/>
      <c r="F17" s="27"/>
      <c r="G17" s="69">
        <v>-366.01020300000073</v>
      </c>
      <c r="H17" s="82"/>
      <c r="I17" s="69">
        <v>86.30136986301386</v>
      </c>
      <c r="J17" s="82"/>
      <c r="K17" s="69">
        <v>0</v>
      </c>
      <c r="L17" s="82"/>
      <c r="M17" s="69">
        <v>279.70883313698687</v>
      </c>
      <c r="N17" s="184"/>
      <c r="O17" s="69">
        <v>0</v>
      </c>
      <c r="P17" s="69"/>
    </row>
    <row r="18" spans="3:16" ht="11.25">
      <c r="C18" s="15" t="s">
        <v>5</v>
      </c>
      <c r="D18" s="27"/>
      <c r="E18" s="27"/>
      <c r="F18" s="27"/>
      <c r="G18" s="82">
        <v>0</v>
      </c>
      <c r="H18" s="82"/>
      <c r="I18" s="82">
        <v>17756.59144</v>
      </c>
      <c r="J18" s="82"/>
      <c r="K18" s="82">
        <v>0</v>
      </c>
      <c r="L18" s="82"/>
      <c r="M18" s="82">
        <v>0</v>
      </c>
      <c r="N18" s="184"/>
      <c r="O18" s="69">
        <v>17756.59144</v>
      </c>
      <c r="P18" s="69"/>
    </row>
    <row r="19" spans="3:16" ht="11.25">
      <c r="C19" s="2" t="s">
        <v>109</v>
      </c>
      <c r="D19" s="27"/>
      <c r="E19" s="27"/>
      <c r="F19" s="27"/>
      <c r="G19" s="82">
        <v>3104.7</v>
      </c>
      <c r="H19" s="82"/>
      <c r="I19" s="82">
        <v>4871.15</v>
      </c>
      <c r="J19" s="82"/>
      <c r="K19" s="82">
        <v>0</v>
      </c>
      <c r="L19" s="82"/>
      <c r="M19" s="82">
        <v>0</v>
      </c>
      <c r="N19" s="184"/>
      <c r="O19" s="69">
        <f>G19+I19</f>
        <v>7975.849999999999</v>
      </c>
      <c r="P19" s="69"/>
    </row>
    <row r="20" spans="3:16" ht="11.25">
      <c r="C20" s="15" t="s">
        <v>6</v>
      </c>
      <c r="D20" s="27"/>
      <c r="E20" s="27"/>
      <c r="F20" s="27"/>
      <c r="G20" s="82">
        <v>0</v>
      </c>
      <c r="H20" s="82"/>
      <c r="I20" s="82">
        <v>0</v>
      </c>
      <c r="J20" s="82"/>
      <c r="K20" s="82">
        <v>0</v>
      </c>
      <c r="L20" s="82"/>
      <c r="M20" s="82">
        <v>0</v>
      </c>
      <c r="N20" s="184"/>
      <c r="O20" s="82">
        <v>0</v>
      </c>
      <c r="P20" s="69"/>
    </row>
    <row r="21" spans="3:16" ht="11.25">
      <c r="C21" s="27" t="s">
        <v>58</v>
      </c>
      <c r="D21" s="27"/>
      <c r="E21" s="27"/>
      <c r="F21" s="27"/>
      <c r="G21" s="82">
        <v>0</v>
      </c>
      <c r="H21" s="82"/>
      <c r="I21" s="82">
        <v>0</v>
      </c>
      <c r="J21" s="82"/>
      <c r="K21" s="82">
        <v>0</v>
      </c>
      <c r="L21" s="82"/>
      <c r="M21" s="82">
        <v>0</v>
      </c>
      <c r="N21" s="184"/>
      <c r="O21" s="82">
        <v>0</v>
      </c>
      <c r="P21" s="69"/>
    </row>
    <row r="22" spans="2:16" ht="11.25">
      <c r="B22" s="2" t="s">
        <v>30</v>
      </c>
      <c r="C22" s="27"/>
      <c r="D22" s="27"/>
      <c r="E22" s="27"/>
      <c r="F22" s="27"/>
      <c r="G22" s="185">
        <f>SUM(G14:G21)</f>
        <v>2128.397064863012</v>
      </c>
      <c r="H22" s="82"/>
      <c r="I22" s="185">
        <f>SUM(I14:I21)</f>
        <v>20171.149784328765</v>
      </c>
      <c r="J22" s="82"/>
      <c r="K22" s="185">
        <v>0</v>
      </c>
      <c r="L22" s="82"/>
      <c r="M22" s="185">
        <v>0</v>
      </c>
      <c r="N22" s="184"/>
      <c r="O22" s="185">
        <f>SUM(O14:O21)</f>
        <v>22299.546849191778</v>
      </c>
      <c r="P22" s="69"/>
    </row>
    <row r="23" spans="3:16" ht="11.25">
      <c r="C23" s="27"/>
      <c r="D23" s="27"/>
      <c r="E23" s="27"/>
      <c r="F23" s="27"/>
      <c r="G23" s="69"/>
      <c r="H23" s="69"/>
      <c r="I23" s="69"/>
      <c r="J23" s="69"/>
      <c r="K23" s="69"/>
      <c r="L23" s="69"/>
      <c r="M23" s="69"/>
      <c r="N23" s="153"/>
      <c r="O23" s="69"/>
      <c r="P23" s="69"/>
    </row>
    <row r="24" spans="2:16" ht="11.25">
      <c r="B24" s="2" t="s">
        <v>88</v>
      </c>
      <c r="C24" s="27"/>
      <c r="D24" s="27"/>
      <c r="E24" s="27"/>
      <c r="F24" s="27"/>
      <c r="G24" s="69">
        <f>G11+G22</f>
        <v>-13023.01389708219</v>
      </c>
      <c r="H24" s="69">
        <f aca="true" t="shared" si="0" ref="H24:M24">H11+H22</f>
        <v>0</v>
      </c>
      <c r="I24" s="69">
        <f t="shared" si="0"/>
        <v>17270.7568288385</v>
      </c>
      <c r="J24" s="69">
        <f t="shared" si="0"/>
        <v>0</v>
      </c>
      <c r="K24" s="69">
        <f t="shared" si="0"/>
        <v>-6794.2508333333335</v>
      </c>
      <c r="L24" s="69">
        <f t="shared" si="0"/>
        <v>0</v>
      </c>
      <c r="M24" s="69">
        <f t="shared" si="0"/>
        <v>0</v>
      </c>
      <c r="N24" s="153"/>
      <c r="O24" s="69">
        <f>G24+I24+K24</f>
        <v>-2546.5079015770225</v>
      </c>
      <c r="P24" s="69"/>
    </row>
    <row r="25" spans="7:16" ht="11.25">
      <c r="G25" s="184"/>
      <c r="H25" s="153"/>
      <c r="I25" s="184"/>
      <c r="J25" s="153"/>
      <c r="K25" s="184"/>
      <c r="L25" s="153"/>
      <c r="M25" s="184"/>
      <c r="N25" s="153"/>
      <c r="O25" s="184"/>
      <c r="P25" s="69"/>
    </row>
    <row r="26" spans="3:16" ht="11.25">
      <c r="C26" s="116" t="s">
        <v>110</v>
      </c>
      <c r="G26" s="69">
        <v>-750</v>
      </c>
      <c r="H26" s="69"/>
      <c r="I26" s="69">
        <v>-1500</v>
      </c>
      <c r="J26" s="69"/>
      <c r="K26" s="69">
        <v>0</v>
      </c>
      <c r="L26" s="69"/>
      <c r="M26" s="69">
        <v>0</v>
      </c>
      <c r="N26" s="153"/>
      <c r="O26" s="69">
        <f>G26+I26</f>
        <v>-2250</v>
      </c>
      <c r="P26" s="69"/>
    </row>
    <row r="27" spans="3:16" ht="11.25">
      <c r="C27" s="15" t="s">
        <v>56</v>
      </c>
      <c r="G27" s="69">
        <v>0</v>
      </c>
      <c r="H27" s="69"/>
      <c r="I27" s="69">
        <v>0</v>
      </c>
      <c r="J27" s="69"/>
      <c r="K27" s="69">
        <v>0</v>
      </c>
      <c r="L27" s="69"/>
      <c r="M27" s="69">
        <v>0</v>
      </c>
      <c r="N27" s="153"/>
      <c r="O27" s="69">
        <v>0</v>
      </c>
      <c r="P27" s="69"/>
    </row>
    <row r="28" spans="3:16" ht="11.25">
      <c r="C28" s="29" t="s">
        <v>55</v>
      </c>
      <c r="G28" s="69">
        <v>8208.920000000013</v>
      </c>
      <c r="H28" s="69"/>
      <c r="I28" s="69">
        <v>207.02000000000044</v>
      </c>
      <c r="J28" s="69"/>
      <c r="K28" s="69">
        <v>0</v>
      </c>
      <c r="L28" s="69"/>
      <c r="M28" s="69">
        <v>0</v>
      </c>
      <c r="N28" s="153"/>
      <c r="O28" s="69">
        <v>8415.940000000013</v>
      </c>
      <c r="P28" s="69"/>
    </row>
    <row r="29" spans="2:16" ht="11.25">
      <c r="B29" s="29"/>
      <c r="G29" s="69"/>
      <c r="H29" s="69"/>
      <c r="I29" s="69"/>
      <c r="J29" s="69"/>
      <c r="K29" s="69"/>
      <c r="L29" s="69"/>
      <c r="M29" s="69"/>
      <c r="N29" s="153"/>
      <c r="O29" s="69"/>
      <c r="P29" s="69"/>
    </row>
    <row r="30" spans="2:16" ht="11.25">
      <c r="B30" s="116" t="s">
        <v>85</v>
      </c>
      <c r="G30" s="185">
        <f>SUM(G26:G28)</f>
        <v>7458.920000000013</v>
      </c>
      <c r="H30" s="69"/>
      <c r="I30" s="185">
        <f>SUM(I26:I28)</f>
        <v>-1292.9799999999996</v>
      </c>
      <c r="J30" s="69"/>
      <c r="K30" s="185">
        <v>0</v>
      </c>
      <c r="L30" s="69"/>
      <c r="M30" s="185">
        <v>0</v>
      </c>
      <c r="N30" s="153"/>
      <c r="O30" s="185">
        <f>SUM(O26:O28)</f>
        <v>6165.940000000013</v>
      </c>
      <c r="P30" s="69"/>
    </row>
    <row r="31" spans="2:16" ht="11.25">
      <c r="B31" s="29"/>
      <c r="G31" s="69"/>
      <c r="H31" s="69"/>
      <c r="I31" s="69"/>
      <c r="J31" s="69"/>
      <c r="K31" s="69"/>
      <c r="L31" s="69"/>
      <c r="M31" s="69"/>
      <c r="N31" s="153"/>
      <c r="O31" s="69"/>
      <c r="P31" s="69"/>
    </row>
    <row r="32" spans="3:16" ht="11.25">
      <c r="C32" s="117" t="s">
        <v>95</v>
      </c>
      <c r="D32" s="19"/>
      <c r="E32" s="19"/>
      <c r="F32" s="19"/>
      <c r="G32" s="82">
        <v>0</v>
      </c>
      <c r="H32" s="82"/>
      <c r="I32" s="82">
        <v>0</v>
      </c>
      <c r="J32" s="82"/>
      <c r="K32" s="82">
        <v>10000</v>
      </c>
      <c r="L32" s="82"/>
      <c r="M32" s="82">
        <v>0</v>
      </c>
      <c r="N32" s="153"/>
      <c r="O32" s="69">
        <v>10000</v>
      </c>
      <c r="P32" s="69"/>
    </row>
    <row r="33" spans="3:16" ht="11.25">
      <c r="C33" s="27" t="s">
        <v>96</v>
      </c>
      <c r="D33" s="19"/>
      <c r="E33" s="19"/>
      <c r="F33" s="19"/>
      <c r="G33" s="82">
        <v>-16666.666000000027</v>
      </c>
      <c r="H33" s="82"/>
      <c r="I33" s="82">
        <v>-8000</v>
      </c>
      <c r="J33" s="82"/>
      <c r="K33" s="82">
        <v>-8000</v>
      </c>
      <c r="L33" s="82"/>
      <c r="M33" s="82">
        <v>0</v>
      </c>
      <c r="N33" s="153"/>
      <c r="O33" s="69">
        <v>-32666.666000000027</v>
      </c>
      <c r="P33" s="69"/>
    </row>
    <row r="34" spans="7:16" ht="11.25"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11.25">
      <c r="B35" s="2" t="s">
        <v>86</v>
      </c>
      <c r="G35" s="185">
        <f aca="true" t="shared" si="1" ref="G35:L35">SUM(G32:G33)</f>
        <v>-16666.666000000027</v>
      </c>
      <c r="H35" s="185">
        <f t="shared" si="1"/>
        <v>0</v>
      </c>
      <c r="I35" s="185">
        <f t="shared" si="1"/>
        <v>-8000</v>
      </c>
      <c r="J35" s="185">
        <f t="shared" si="1"/>
        <v>0</v>
      </c>
      <c r="K35" s="185">
        <f t="shared" si="1"/>
        <v>2000</v>
      </c>
      <c r="L35" s="185">
        <f t="shared" si="1"/>
        <v>0</v>
      </c>
      <c r="M35" s="185">
        <v>0</v>
      </c>
      <c r="N35" s="69"/>
      <c r="O35" s="185">
        <v>-22666.666000000027</v>
      </c>
      <c r="P35" s="69"/>
    </row>
    <row r="36" spans="7:18" ht="11.25">
      <c r="G36" s="69"/>
      <c r="H36" s="69"/>
      <c r="I36" s="69"/>
      <c r="J36" s="69"/>
      <c r="K36" s="69"/>
      <c r="L36" s="69"/>
      <c r="M36" s="69"/>
      <c r="N36" s="69"/>
      <c r="O36" s="69"/>
      <c r="P36" s="69"/>
      <c r="R36" s="193"/>
    </row>
    <row r="37" spans="2:16" ht="12" thickBot="1">
      <c r="B37" s="2" t="s">
        <v>87</v>
      </c>
      <c r="G37" s="186">
        <f>G24+G30+G35</f>
        <v>-22230.759897082204</v>
      </c>
      <c r="H37" s="186">
        <f>H24+H30+H35</f>
        <v>0</v>
      </c>
      <c r="I37" s="186">
        <f>I24+I30+I35</f>
        <v>7977.776828838501</v>
      </c>
      <c r="J37" s="186">
        <f>J24+J30+J35</f>
        <v>0</v>
      </c>
      <c r="K37" s="186">
        <f>K24+K30+K35</f>
        <v>-4794.2508333333335</v>
      </c>
      <c r="L37" s="69"/>
      <c r="M37" s="186">
        <v>0</v>
      </c>
      <c r="N37" s="69"/>
      <c r="O37" s="186">
        <f>SUM(G37:K37)</f>
        <v>-19047.233901577034</v>
      </c>
      <c r="P37" s="69"/>
    </row>
    <row r="38" spans="7:16" ht="12" thickTop="1"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1.25">
      <c r="B39" s="2" t="s">
        <v>93</v>
      </c>
      <c r="G39" s="70">
        <f>'CF 2016'!G41</f>
        <v>-13737.90308619177</v>
      </c>
      <c r="H39" s="70">
        <f>'CF 2016'!H41</f>
        <v>0</v>
      </c>
      <c r="I39" s="70">
        <f>'CF 2016'!I41</f>
        <v>-4208.522631114377</v>
      </c>
      <c r="J39" s="70">
        <f>'CF 2016'!J41</f>
        <v>0</v>
      </c>
      <c r="K39" s="70">
        <f>'CF 2016'!K41</f>
        <v>4802.708333333334</v>
      </c>
      <c r="L39" s="70"/>
      <c r="M39" s="70">
        <v>0</v>
      </c>
      <c r="N39" s="70"/>
      <c r="O39" s="70">
        <f>SUM(G39:K39)</f>
        <v>-13143.717383972815</v>
      </c>
      <c r="P39" s="69"/>
    </row>
    <row r="40" spans="2:16" ht="11.25">
      <c r="B40" s="2" t="s">
        <v>92</v>
      </c>
      <c r="G40" s="67">
        <f>G37</f>
        <v>-22230.759897082204</v>
      </c>
      <c r="H40" s="67">
        <f>H37</f>
        <v>0</v>
      </c>
      <c r="I40" s="67">
        <f>I37</f>
        <v>7977.776828838501</v>
      </c>
      <c r="J40" s="67">
        <f>J37</f>
        <v>0</v>
      </c>
      <c r="K40" s="67">
        <f>K37</f>
        <v>-4794.2508333333335</v>
      </c>
      <c r="L40" s="69"/>
      <c r="M40" s="67">
        <v>0</v>
      </c>
      <c r="N40" s="69"/>
      <c r="O40" s="69">
        <f>SUM(G40:K40)</f>
        <v>-19047.233901577034</v>
      </c>
      <c r="P40" s="69"/>
    </row>
    <row r="41" spans="2:16" ht="11.25">
      <c r="B41" s="2" t="s">
        <v>94</v>
      </c>
      <c r="G41" s="187">
        <f>G39+G40</f>
        <v>-35968.66298327397</v>
      </c>
      <c r="H41" s="187">
        <f aca="true" t="shared" si="2" ref="H41:N41">H39+H40</f>
        <v>0</v>
      </c>
      <c r="I41" s="187">
        <f t="shared" si="2"/>
        <v>3769.2541977241244</v>
      </c>
      <c r="J41" s="187">
        <f t="shared" si="2"/>
        <v>0</v>
      </c>
      <c r="K41" s="187">
        <f t="shared" si="2"/>
        <v>8.457500000000437</v>
      </c>
      <c r="L41" s="187">
        <f t="shared" si="2"/>
        <v>0</v>
      </c>
      <c r="M41" s="187">
        <f t="shared" si="2"/>
        <v>0</v>
      </c>
      <c r="N41" s="187">
        <f t="shared" si="2"/>
        <v>0</v>
      </c>
      <c r="O41" s="187">
        <f>O39+O40</f>
        <v>-32190.951285549847</v>
      </c>
      <c r="P41" s="69"/>
    </row>
    <row r="42" spans="7:16" ht="11.25"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7:16" ht="11.25"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7:16" ht="11.2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7:16" ht="11.25">
      <c r="G45" s="69"/>
      <c r="H45" s="69"/>
      <c r="I45" s="69"/>
      <c r="J45" s="69"/>
      <c r="K45" s="69"/>
      <c r="L45" s="69"/>
      <c r="M45" s="69"/>
      <c r="N45" s="69"/>
      <c r="O45" s="69"/>
      <c r="P45" s="69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R41"/>
  <sheetViews>
    <sheetView zoomScalePageLayoutView="0" workbookViewId="0" topLeftCell="A1">
      <pane xSplit="5" ySplit="9" topLeftCell="F29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O41" sqref="O41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5.421875" style="15" customWidth="1"/>
    <col min="4" max="4" width="5.57421875" style="15" customWidth="1"/>
    <col min="5" max="5" width="22.421875" style="15" bestFit="1" customWidth="1"/>
    <col min="6" max="6" width="1.421875" style="15" customWidth="1"/>
    <col min="7" max="7" width="12.57421875" style="15" bestFit="1" customWidth="1"/>
    <col min="8" max="8" width="0.85546875" style="15" customWidth="1"/>
    <col min="9" max="9" width="11.00390625" style="15" bestFit="1" customWidth="1"/>
    <col min="10" max="10" width="0.85546875" style="15" customWidth="1"/>
    <col min="11" max="11" width="12.57421875" style="15" customWidth="1"/>
    <col min="12" max="12" width="0.85546875" style="15" customWidth="1"/>
    <col min="13" max="13" width="10.140625" style="15" bestFit="1" customWidth="1"/>
    <col min="14" max="14" width="0.85546875" style="15" customWidth="1"/>
    <col min="15" max="15" width="12.57421875" style="15" bestFit="1" customWidth="1"/>
    <col min="16" max="16" width="1.57421875" style="15" customWidth="1"/>
    <col min="17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2" t="s">
        <v>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6">
        <v>2018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6"/>
      <c r="I7" s="16"/>
    </row>
    <row r="8" spans="7:15" ht="11.25">
      <c r="G8" s="16"/>
      <c r="I8" s="16"/>
      <c r="K8" s="11"/>
      <c r="M8" s="16" t="s">
        <v>37</v>
      </c>
      <c r="O8" s="16"/>
    </row>
    <row r="9" spans="3:15" ht="11.25">
      <c r="C9" s="17"/>
      <c r="D9" s="17"/>
      <c r="E9" s="17"/>
      <c r="F9" s="17"/>
      <c r="G9" s="4" t="s">
        <v>104</v>
      </c>
      <c r="H9" s="2"/>
      <c r="I9" s="4" t="s">
        <v>105</v>
      </c>
      <c r="J9" s="2"/>
      <c r="K9" s="4" t="s">
        <v>106</v>
      </c>
      <c r="M9" s="26" t="s">
        <v>38</v>
      </c>
      <c r="N9" s="24"/>
      <c r="O9" s="26" t="s">
        <v>39</v>
      </c>
    </row>
    <row r="10" spans="3:15" ht="11.25">
      <c r="C10" s="17"/>
      <c r="D10" s="17"/>
      <c r="E10" s="17"/>
      <c r="F10" s="17"/>
      <c r="G10" s="18"/>
      <c r="M10" s="18"/>
      <c r="O10" s="18"/>
    </row>
    <row r="11" spans="2:15" ht="11.25">
      <c r="B11" s="2" t="s">
        <v>83</v>
      </c>
      <c r="C11" s="17"/>
      <c r="D11" s="17"/>
      <c r="E11" s="17"/>
      <c r="F11" s="17"/>
      <c r="G11" s="70">
        <f>'IS - 2018'!E35</f>
        <v>-20115.054341945197</v>
      </c>
      <c r="H11" s="70">
        <f>'IS - 2018'!F35</f>
        <v>0</v>
      </c>
      <c r="I11" s="70">
        <f>'IS - 2018'!G35</f>
        <v>1806.5108896689699</v>
      </c>
      <c r="J11" s="70">
        <f>'IS - 2018'!H35</f>
        <v>0</v>
      </c>
      <c r="K11" s="70">
        <f>'IS - 2018'!I35</f>
        <v>-6104.386666666667</v>
      </c>
      <c r="L11" s="70"/>
      <c r="M11" s="70">
        <v>0</v>
      </c>
      <c r="N11" s="70"/>
      <c r="O11" s="70">
        <f>G11+I11+K11</f>
        <v>-24412.930118942895</v>
      </c>
    </row>
    <row r="12" spans="3:15" ht="11.25">
      <c r="C12" s="17"/>
      <c r="D12" s="17"/>
      <c r="E12" s="17"/>
      <c r="F12" s="17"/>
      <c r="G12" s="69"/>
      <c r="H12" s="69"/>
      <c r="I12" s="69"/>
      <c r="J12" s="69"/>
      <c r="K12" s="69"/>
      <c r="L12" s="69"/>
      <c r="M12" s="69"/>
      <c r="N12" s="69"/>
      <c r="O12" s="69"/>
    </row>
    <row r="13" spans="2:15" ht="11.25">
      <c r="B13" s="2" t="s">
        <v>84</v>
      </c>
      <c r="C13" s="17"/>
      <c r="D13" s="17"/>
      <c r="E13" s="17"/>
      <c r="F13" s="17"/>
      <c r="G13" s="69"/>
      <c r="H13" s="69"/>
      <c r="I13" s="69"/>
      <c r="J13" s="69"/>
      <c r="K13" s="69"/>
      <c r="L13" s="69"/>
      <c r="M13" s="69"/>
      <c r="N13" s="69"/>
      <c r="O13" s="69"/>
    </row>
    <row r="14" spans="3:15" ht="11.25">
      <c r="C14" s="27" t="s">
        <v>26</v>
      </c>
      <c r="D14" s="27"/>
      <c r="E14" s="27"/>
      <c r="F14" s="27"/>
      <c r="G14" s="69">
        <v>197.87671232876713</v>
      </c>
      <c r="H14" s="69"/>
      <c r="I14" s="69">
        <v>645.4977360020557</v>
      </c>
      <c r="J14" s="69"/>
      <c r="K14" s="69">
        <v>0</v>
      </c>
      <c r="L14" s="69"/>
      <c r="M14" s="69">
        <v>0</v>
      </c>
      <c r="N14" s="153"/>
      <c r="O14" s="69">
        <v>843.3744483308228</v>
      </c>
    </row>
    <row r="15" spans="3:15" ht="11.25">
      <c r="C15" s="27" t="s">
        <v>1</v>
      </c>
      <c r="D15" s="27"/>
      <c r="E15" s="27"/>
      <c r="F15" s="27"/>
      <c r="G15" s="69">
        <v>1113.6986301369861</v>
      </c>
      <c r="H15" s="69"/>
      <c r="I15" s="69">
        <v>1040.144624356849</v>
      </c>
      <c r="J15" s="69"/>
      <c r="K15" s="69">
        <v>0</v>
      </c>
      <c r="L15" s="69"/>
      <c r="M15" s="69">
        <v>-2153.843254493835</v>
      </c>
      <c r="N15" s="153"/>
      <c r="O15" s="69">
        <v>0</v>
      </c>
    </row>
    <row r="16" spans="3:15" ht="11.25">
      <c r="C16" s="27" t="s">
        <v>57</v>
      </c>
      <c r="D16" s="27"/>
      <c r="E16" s="27"/>
      <c r="F16" s="27"/>
      <c r="G16" s="82">
        <v>-524.2008922739751</v>
      </c>
      <c r="H16" s="69"/>
      <c r="I16" s="82">
        <v>0</v>
      </c>
      <c r="J16" s="69"/>
      <c r="K16" s="82">
        <v>0</v>
      </c>
      <c r="L16" s="69"/>
      <c r="M16" s="82">
        <v>0</v>
      </c>
      <c r="N16" s="153"/>
      <c r="O16" s="69">
        <v>-524.2008922739751</v>
      </c>
    </row>
    <row r="17" spans="3:15" ht="11.25">
      <c r="C17" s="27" t="s">
        <v>2</v>
      </c>
      <c r="D17" s="27"/>
      <c r="E17" s="27"/>
      <c r="F17" s="27"/>
      <c r="G17" s="69">
        <v>-1040.144624356849</v>
      </c>
      <c r="H17" s="82"/>
      <c r="I17" s="69">
        <v>-1113.6986301369861</v>
      </c>
      <c r="J17" s="82"/>
      <c r="K17" s="69">
        <v>0</v>
      </c>
      <c r="L17" s="82"/>
      <c r="M17" s="69">
        <v>2153.843254493835</v>
      </c>
      <c r="N17" s="184"/>
      <c r="O17" s="69">
        <v>0</v>
      </c>
    </row>
    <row r="18" spans="3:15" ht="11.25">
      <c r="C18" s="15" t="s">
        <v>5</v>
      </c>
      <c r="D18" s="27"/>
      <c r="E18" s="27"/>
      <c r="F18" s="27"/>
      <c r="G18" s="82">
        <v>0</v>
      </c>
      <c r="H18" s="82"/>
      <c r="I18" s="82">
        <v>0</v>
      </c>
      <c r="J18" s="82"/>
      <c r="K18" s="82">
        <v>0</v>
      </c>
      <c r="L18" s="82"/>
      <c r="M18" s="82">
        <v>0</v>
      </c>
      <c r="N18" s="184"/>
      <c r="O18" s="69">
        <v>0</v>
      </c>
    </row>
    <row r="19" spans="3:15" ht="11.25">
      <c r="C19" s="2" t="s">
        <v>109</v>
      </c>
      <c r="D19" s="27"/>
      <c r="E19" s="27"/>
      <c r="F19" s="27"/>
      <c r="G19" s="82">
        <v>3137.51</v>
      </c>
      <c r="H19" s="82"/>
      <c r="I19" s="82">
        <v>4936.78</v>
      </c>
      <c r="J19" s="82"/>
      <c r="K19" s="82">
        <v>0</v>
      </c>
      <c r="L19" s="82"/>
      <c r="M19" s="82">
        <v>0</v>
      </c>
      <c r="N19" s="184"/>
      <c r="O19" s="69">
        <f>SUM(G19:M19)</f>
        <v>8074.29</v>
      </c>
    </row>
    <row r="20" spans="3:15" ht="11.25">
      <c r="C20" s="15" t="s">
        <v>6</v>
      </c>
      <c r="D20" s="27"/>
      <c r="E20" s="27"/>
      <c r="F20" s="27"/>
      <c r="G20" s="82">
        <v>0</v>
      </c>
      <c r="H20" s="82"/>
      <c r="I20" s="82">
        <v>0</v>
      </c>
      <c r="J20" s="82"/>
      <c r="K20" s="82">
        <v>0</v>
      </c>
      <c r="L20" s="82"/>
      <c r="M20" s="82">
        <v>0</v>
      </c>
      <c r="N20" s="184"/>
      <c r="O20" s="82">
        <v>0</v>
      </c>
    </row>
    <row r="21" spans="3:15" ht="11.25">
      <c r="C21" s="27" t="s">
        <v>58</v>
      </c>
      <c r="D21" s="27"/>
      <c r="E21" s="27"/>
      <c r="F21" s="27"/>
      <c r="G21" s="82">
        <v>0</v>
      </c>
      <c r="H21" s="82"/>
      <c r="I21" s="82">
        <v>0</v>
      </c>
      <c r="J21" s="82"/>
      <c r="K21" s="82">
        <v>0</v>
      </c>
      <c r="L21" s="82"/>
      <c r="M21" s="82">
        <v>0</v>
      </c>
      <c r="N21" s="184"/>
      <c r="O21" s="82">
        <v>0</v>
      </c>
    </row>
    <row r="22" spans="2:18" ht="11.25">
      <c r="B22" s="2" t="s">
        <v>30</v>
      </c>
      <c r="C22" s="27"/>
      <c r="D22" s="27"/>
      <c r="E22" s="27"/>
      <c r="F22" s="27"/>
      <c r="G22" s="185">
        <f>SUM(G14:G21)</f>
        <v>2884.7398258349294</v>
      </c>
      <c r="H22" s="82"/>
      <c r="I22" s="185">
        <f>SUM(I14:I21)</f>
        <v>5508.723730221918</v>
      </c>
      <c r="J22" s="82"/>
      <c r="K22" s="185">
        <v>0</v>
      </c>
      <c r="L22" s="82"/>
      <c r="M22" s="185">
        <v>0</v>
      </c>
      <c r="N22" s="184"/>
      <c r="O22" s="185">
        <f>SUM(O14:O21)</f>
        <v>8393.463556056848</v>
      </c>
      <c r="R22" s="193"/>
    </row>
    <row r="23" spans="3:15" ht="11.25">
      <c r="C23" s="27"/>
      <c r="D23" s="27"/>
      <c r="E23" s="27"/>
      <c r="F23" s="27"/>
      <c r="G23" s="69"/>
      <c r="H23" s="69"/>
      <c r="I23" s="69"/>
      <c r="J23" s="69"/>
      <c r="K23" s="69"/>
      <c r="L23" s="69"/>
      <c r="M23" s="69"/>
      <c r="N23" s="153"/>
      <c r="O23" s="69"/>
    </row>
    <row r="24" spans="2:15" ht="11.25">
      <c r="B24" s="2" t="s">
        <v>88</v>
      </c>
      <c r="C24" s="27"/>
      <c r="D24" s="27"/>
      <c r="E24" s="27"/>
      <c r="F24" s="27"/>
      <c r="G24" s="69">
        <f>G11+G22</f>
        <v>-17230.314516110266</v>
      </c>
      <c r="H24" s="69"/>
      <c r="I24" s="69">
        <f>I11+I22</f>
        <v>7315.234619890888</v>
      </c>
      <c r="J24" s="69">
        <f>J11+J22</f>
        <v>0</v>
      </c>
      <c r="K24" s="69">
        <f>K11+K22</f>
        <v>-6104.386666666667</v>
      </c>
      <c r="L24" s="69"/>
      <c r="M24" s="69">
        <v>0</v>
      </c>
      <c r="N24" s="153"/>
      <c r="O24" s="69">
        <f>SUM(G24:M24)</f>
        <v>-16019.466562886044</v>
      </c>
    </row>
    <row r="25" spans="7:15" ht="11.25">
      <c r="G25" s="184"/>
      <c r="H25" s="153"/>
      <c r="I25" s="184"/>
      <c r="J25" s="153"/>
      <c r="K25" s="184"/>
      <c r="L25" s="153"/>
      <c r="M25" s="184"/>
      <c r="N25" s="153"/>
      <c r="O25" s="184"/>
    </row>
    <row r="26" spans="3:15" ht="11.25">
      <c r="C26" s="116" t="s">
        <v>110</v>
      </c>
      <c r="G26" s="69">
        <v>-562.5</v>
      </c>
      <c r="H26" s="69"/>
      <c r="I26" s="69">
        <v>-1125</v>
      </c>
      <c r="J26" s="69"/>
      <c r="K26" s="69">
        <v>0</v>
      </c>
      <c r="L26" s="69"/>
      <c r="M26" s="69">
        <v>0</v>
      </c>
      <c r="N26" s="153"/>
      <c r="O26" s="69">
        <f>G26+I26</f>
        <v>-1687.5</v>
      </c>
    </row>
    <row r="27" spans="3:15" ht="11.25">
      <c r="C27" s="15" t="s">
        <v>56</v>
      </c>
      <c r="G27" s="69">
        <v>0</v>
      </c>
      <c r="H27" s="69"/>
      <c r="I27" s="69">
        <v>0</v>
      </c>
      <c r="J27" s="69"/>
      <c r="K27" s="69">
        <v>0</v>
      </c>
      <c r="L27" s="69"/>
      <c r="M27" s="69">
        <v>0</v>
      </c>
      <c r="N27" s="153"/>
      <c r="O27" s="69">
        <v>0</v>
      </c>
    </row>
    <row r="28" spans="3:15" ht="11.25">
      <c r="C28" s="29" t="s">
        <v>55</v>
      </c>
      <c r="G28" s="69">
        <v>8208.920000000013</v>
      </c>
      <c r="H28" s="69"/>
      <c r="I28" s="69">
        <v>207.02000000000044</v>
      </c>
      <c r="J28" s="69"/>
      <c r="K28" s="69">
        <v>0</v>
      </c>
      <c r="L28" s="69"/>
      <c r="M28" s="69">
        <v>0</v>
      </c>
      <c r="N28" s="153"/>
      <c r="O28" s="69">
        <f>G28+I28</f>
        <v>8415.940000000013</v>
      </c>
    </row>
    <row r="29" spans="2:15" ht="11.25">
      <c r="B29" s="29"/>
      <c r="G29" s="69"/>
      <c r="H29" s="69"/>
      <c r="I29" s="69"/>
      <c r="J29" s="69"/>
      <c r="K29" s="69"/>
      <c r="L29" s="69"/>
      <c r="M29" s="69"/>
      <c r="N29" s="153"/>
      <c r="O29" s="69"/>
    </row>
    <row r="30" spans="2:18" ht="11.25">
      <c r="B30" s="116" t="s">
        <v>85</v>
      </c>
      <c r="G30" s="185">
        <f>SUM(G26:G28)</f>
        <v>7646.420000000013</v>
      </c>
      <c r="H30" s="69"/>
      <c r="I30" s="185">
        <f>SUM(I26:I28)</f>
        <v>-917.9799999999996</v>
      </c>
      <c r="J30" s="69"/>
      <c r="K30" s="185">
        <v>0</v>
      </c>
      <c r="L30" s="69"/>
      <c r="M30" s="185">
        <v>0</v>
      </c>
      <c r="N30" s="153"/>
      <c r="O30" s="185">
        <f>G30+I30</f>
        <v>6728.440000000013</v>
      </c>
      <c r="R30" s="193"/>
    </row>
    <row r="31" spans="2:15" ht="11.25">
      <c r="B31" s="29"/>
      <c r="G31" s="69"/>
      <c r="H31" s="69"/>
      <c r="I31" s="69"/>
      <c r="J31" s="69"/>
      <c r="K31" s="69"/>
      <c r="L31" s="69"/>
      <c r="M31" s="69"/>
      <c r="N31" s="153"/>
      <c r="O31" s="69"/>
    </row>
    <row r="32" spans="3:15" ht="11.25">
      <c r="C32" s="117" t="s">
        <v>95</v>
      </c>
      <c r="D32" s="19"/>
      <c r="E32" s="19"/>
      <c r="F32" s="19"/>
      <c r="G32" s="82">
        <v>0</v>
      </c>
      <c r="H32" s="82"/>
      <c r="I32" s="82">
        <v>0</v>
      </c>
      <c r="J32" s="82"/>
      <c r="K32" s="82">
        <v>10000</v>
      </c>
      <c r="L32" s="82"/>
      <c r="M32" s="82">
        <v>0</v>
      </c>
      <c r="N32" s="153"/>
      <c r="O32" s="69">
        <v>10000</v>
      </c>
    </row>
    <row r="33" spans="3:15" ht="11.25">
      <c r="C33" s="27" t="s">
        <v>96</v>
      </c>
      <c r="D33" s="19"/>
      <c r="E33" s="19"/>
      <c r="F33" s="19"/>
      <c r="G33" s="82">
        <v>-16666.666000000027</v>
      </c>
      <c r="H33" s="82"/>
      <c r="I33" s="82">
        <v>-8000</v>
      </c>
      <c r="J33" s="82"/>
      <c r="K33" s="82">
        <v>-8000</v>
      </c>
      <c r="L33" s="82"/>
      <c r="M33" s="82">
        <v>0</v>
      </c>
      <c r="N33" s="153"/>
      <c r="O33" s="69">
        <f>SUM(G33:M33)</f>
        <v>-32666.666000000027</v>
      </c>
    </row>
    <row r="34" spans="7:16" ht="11.25">
      <c r="G34" s="82"/>
      <c r="H34" s="82"/>
      <c r="I34" s="82"/>
      <c r="J34" s="82"/>
      <c r="K34" s="82"/>
      <c r="L34" s="82"/>
      <c r="M34" s="82"/>
      <c r="N34" s="82"/>
      <c r="O34" s="82"/>
      <c r="P34" s="24"/>
    </row>
    <row r="35" spans="2:15" ht="11.25">
      <c r="B35" s="2" t="s">
        <v>86</v>
      </c>
      <c r="G35" s="185">
        <v>-16666.666000000027</v>
      </c>
      <c r="H35" s="69"/>
      <c r="I35" s="185">
        <v>-8000</v>
      </c>
      <c r="J35" s="69"/>
      <c r="K35" s="185">
        <v>2000</v>
      </c>
      <c r="L35" s="69"/>
      <c r="M35" s="185">
        <v>0</v>
      </c>
      <c r="N35" s="69"/>
      <c r="O35" s="185">
        <v>-22666.666000000027</v>
      </c>
    </row>
    <row r="36" spans="7:15" ht="11.25">
      <c r="G36" s="69"/>
      <c r="H36" s="69"/>
      <c r="I36" s="69"/>
      <c r="J36" s="69"/>
      <c r="K36" s="69"/>
      <c r="L36" s="69"/>
      <c r="M36" s="69"/>
      <c r="N36" s="69"/>
      <c r="O36" s="69"/>
    </row>
    <row r="37" spans="2:18" ht="12" thickBot="1">
      <c r="B37" s="2" t="s">
        <v>87</v>
      </c>
      <c r="G37" s="186">
        <f>G24+G30+G35</f>
        <v>-26250.56051611028</v>
      </c>
      <c r="H37" s="69"/>
      <c r="I37" s="186">
        <f>I24+I30+I35</f>
        <v>-1602.7453801091115</v>
      </c>
      <c r="J37" s="186">
        <f>J24+J30+J35</f>
        <v>0</v>
      </c>
      <c r="K37" s="186">
        <f>K24+K30+K35</f>
        <v>-4104.386666666667</v>
      </c>
      <c r="L37" s="186">
        <f>L24+L30+L35</f>
        <v>0</v>
      </c>
      <c r="M37" s="186">
        <f>M24+M30+M35</f>
        <v>0</v>
      </c>
      <c r="N37" s="69"/>
      <c r="O37" s="186">
        <f>O24+O30+O35</f>
        <v>-31957.692562886055</v>
      </c>
      <c r="R37" s="193"/>
    </row>
    <row r="38" spans="7:15" ht="12" thickTop="1"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1.25">
      <c r="B39" s="2" t="s">
        <v>93</v>
      </c>
      <c r="G39" s="70">
        <f>'CF 2017'!G41</f>
        <v>-35968.66298327397</v>
      </c>
      <c r="H39" s="70">
        <f>'CF 2017'!H41</f>
        <v>0</v>
      </c>
      <c r="I39" s="70">
        <f>'CF 2017'!I41</f>
        <v>3769.2541977241244</v>
      </c>
      <c r="J39" s="70">
        <f>'CF 2017'!J41</f>
        <v>0</v>
      </c>
      <c r="K39" s="70">
        <f>'CF 2017'!K41</f>
        <v>8.457500000000437</v>
      </c>
      <c r="L39" s="70"/>
      <c r="M39" s="70">
        <v>-0.16638000000057218</v>
      </c>
      <c r="N39" s="70"/>
      <c r="O39" s="70">
        <f>SUM(G39:M39)</f>
        <v>-32191.11766554985</v>
      </c>
    </row>
    <row r="40" spans="2:15" ht="11.25">
      <c r="B40" s="2" t="s">
        <v>92</v>
      </c>
      <c r="G40" s="67">
        <f>G37</f>
        <v>-26250.56051611028</v>
      </c>
      <c r="H40" s="69"/>
      <c r="I40" s="67">
        <f>I37</f>
        <v>-1602.7453801091115</v>
      </c>
      <c r="J40" s="69"/>
      <c r="K40" s="67">
        <f>K37</f>
        <v>-4104.386666666667</v>
      </c>
      <c r="L40" s="69"/>
      <c r="M40" s="67">
        <v>0</v>
      </c>
      <c r="N40" s="69"/>
      <c r="O40" s="69">
        <f>SUM(G40:M40)</f>
        <v>-31957.692562886055</v>
      </c>
    </row>
    <row r="41" spans="2:15" ht="11.25">
      <c r="B41" s="2" t="s">
        <v>94</v>
      </c>
      <c r="G41" s="187">
        <f>G39+G40</f>
        <v>-62219.22349938425</v>
      </c>
      <c r="H41" s="70"/>
      <c r="I41" s="187">
        <f>I39+I40</f>
        <v>2166.508817615013</v>
      </c>
      <c r="J41" s="70"/>
      <c r="K41" s="187">
        <f>K39+K40</f>
        <v>-4095.929166666667</v>
      </c>
      <c r="L41" s="70"/>
      <c r="M41" s="187">
        <v>-0.16638000000057218</v>
      </c>
      <c r="N41" s="70"/>
      <c r="O41" s="187">
        <f>O39+O40</f>
        <v>-64148.810228435905</v>
      </c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R41"/>
  <sheetViews>
    <sheetView zoomScalePageLayoutView="0" workbookViewId="0" topLeftCell="A1">
      <pane xSplit="5" ySplit="9" topLeftCell="F29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O45" sqref="O45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5.421875" style="15" customWidth="1"/>
    <col min="4" max="4" width="5.57421875" style="15" customWidth="1"/>
    <col min="5" max="5" width="22.421875" style="15" bestFit="1" customWidth="1"/>
    <col min="6" max="6" width="1.421875" style="15" customWidth="1"/>
    <col min="7" max="7" width="10.140625" style="15" bestFit="1" customWidth="1"/>
    <col min="8" max="8" width="0.85546875" style="15" customWidth="1"/>
    <col min="9" max="9" width="9.57421875" style="15" customWidth="1"/>
    <col min="10" max="10" width="0.85546875" style="15" customWidth="1"/>
    <col min="11" max="11" width="9.57421875" style="15" bestFit="1" customWidth="1"/>
    <col min="12" max="12" width="0.85546875" style="15" customWidth="1"/>
    <col min="13" max="13" width="9.8515625" style="15" bestFit="1" customWidth="1"/>
    <col min="14" max="14" width="0.85546875" style="15" customWidth="1"/>
    <col min="15" max="15" width="13.57421875" style="15" bestFit="1" customWidth="1"/>
    <col min="16" max="16" width="1.57421875" style="15" customWidth="1"/>
    <col min="17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2" t="s">
        <v>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90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6">
        <v>2019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6"/>
      <c r="I7" s="16"/>
    </row>
    <row r="8" spans="7:15" ht="11.25">
      <c r="G8" s="16"/>
      <c r="I8" s="16"/>
      <c r="K8" s="11"/>
      <c r="M8" s="16" t="s">
        <v>37</v>
      </c>
      <c r="O8" s="16"/>
    </row>
    <row r="9" spans="3:15" ht="11.25">
      <c r="C9" s="17"/>
      <c r="D9" s="17"/>
      <c r="E9" s="17"/>
      <c r="F9" s="17"/>
      <c r="G9" s="4" t="s">
        <v>104</v>
      </c>
      <c r="H9" s="2"/>
      <c r="I9" s="4" t="s">
        <v>105</v>
      </c>
      <c r="J9" s="2"/>
      <c r="K9" s="4" t="s">
        <v>106</v>
      </c>
      <c r="M9" s="26" t="s">
        <v>38</v>
      </c>
      <c r="N9" s="24"/>
      <c r="O9" s="26" t="s">
        <v>39</v>
      </c>
    </row>
    <row r="10" spans="3:15" ht="11.25">
      <c r="C10" s="17"/>
      <c r="D10" s="17"/>
      <c r="E10" s="17"/>
      <c r="F10" s="17"/>
      <c r="G10" s="18"/>
      <c r="M10" s="18"/>
      <c r="O10" s="18"/>
    </row>
    <row r="11" spans="2:16" ht="11.25">
      <c r="B11" s="2" t="s">
        <v>83</v>
      </c>
      <c r="C11" s="17"/>
      <c r="D11" s="17"/>
      <c r="E11" s="17"/>
      <c r="F11" s="17"/>
      <c r="G11" s="70">
        <f>'IS - 9-30-19'!E35</f>
        <v>-11311.819277561633</v>
      </c>
      <c r="H11" s="70">
        <f>'IS - 9-30-19'!F35</f>
        <v>0</v>
      </c>
      <c r="I11" s="70">
        <f>'IS - 9-30-19'!G35</f>
        <v>-4202.500284907264</v>
      </c>
      <c r="J11" s="70">
        <f>'IS - 9-30-19'!H35</f>
        <v>0</v>
      </c>
      <c r="K11" s="70">
        <f>'IS - 9-30-19'!I35</f>
        <v>-4282.316666666667</v>
      </c>
      <c r="L11" s="70">
        <f>'IS - 9-30-19'!J35</f>
        <v>0</v>
      </c>
      <c r="M11" s="70">
        <f>'IS - 9-30-19'!K35</f>
        <v>0</v>
      </c>
      <c r="N11" s="70"/>
      <c r="O11" s="70">
        <f>SUM(G11:M11)</f>
        <v>-19796.636229135565</v>
      </c>
      <c r="P11" s="69"/>
    </row>
    <row r="12" spans="3:16" ht="11.25">
      <c r="C12" s="17"/>
      <c r="D12" s="17"/>
      <c r="E12" s="17"/>
      <c r="F12" s="17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 ht="11.25">
      <c r="B13" s="2" t="s">
        <v>84</v>
      </c>
      <c r="C13" s="17"/>
      <c r="D13" s="17"/>
      <c r="E13" s="17"/>
      <c r="F13" s="17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3:16" ht="11.25">
      <c r="C14" s="27" t="s">
        <v>26</v>
      </c>
      <c r="D14" s="27"/>
      <c r="E14" s="27"/>
      <c r="F14" s="27"/>
      <c r="G14" s="69">
        <v>-4943.876712328767</v>
      </c>
      <c r="H14" s="69"/>
      <c r="I14" s="69">
        <v>1817.6894587909937</v>
      </c>
      <c r="J14" s="69"/>
      <c r="K14" s="69">
        <v>0</v>
      </c>
      <c r="L14" s="69"/>
      <c r="M14" s="69">
        <v>0</v>
      </c>
      <c r="N14" s="153"/>
      <c r="O14" s="69">
        <f>SUM(G14:M14)</f>
        <v>-3126.1872535377734</v>
      </c>
      <c r="P14" s="69"/>
    </row>
    <row r="15" spans="3:16" ht="11.25">
      <c r="C15" s="27" t="s">
        <v>1</v>
      </c>
      <c r="D15" s="27"/>
      <c r="E15" s="27"/>
      <c r="F15" s="27"/>
      <c r="G15" s="69">
        <v>-561.6438356164385</v>
      </c>
      <c r="H15" s="69"/>
      <c r="I15" s="69">
        <v>-365.87029215958864</v>
      </c>
      <c r="J15" s="69"/>
      <c r="K15" s="69">
        <v>0</v>
      </c>
      <c r="L15" s="69"/>
      <c r="M15" s="69">
        <v>927.5141277760267</v>
      </c>
      <c r="N15" s="153"/>
      <c r="O15" s="69">
        <f aca="true" t="shared" si="0" ref="O15:O20">SUM(G15:M15)</f>
        <v>0</v>
      </c>
      <c r="P15" s="69"/>
    </row>
    <row r="16" spans="3:16" ht="11.25">
      <c r="C16" s="27" t="s">
        <v>57</v>
      </c>
      <c r="D16" s="27"/>
      <c r="E16" s="27"/>
      <c r="F16" s="27"/>
      <c r="G16" s="82">
        <v>-7140.639336657533</v>
      </c>
      <c r="H16" s="69"/>
      <c r="I16" s="82">
        <v>0</v>
      </c>
      <c r="J16" s="69"/>
      <c r="K16" s="82">
        <v>0</v>
      </c>
      <c r="L16" s="69"/>
      <c r="M16" s="82">
        <v>0</v>
      </c>
      <c r="N16" s="153"/>
      <c r="O16" s="69">
        <f t="shared" si="0"/>
        <v>-7140.639336657533</v>
      </c>
      <c r="P16" s="69"/>
    </row>
    <row r="17" spans="3:16" ht="11.25">
      <c r="C17" s="27" t="s">
        <v>2</v>
      </c>
      <c r="D17" s="27"/>
      <c r="E17" s="27"/>
      <c r="F17" s="27"/>
      <c r="G17" s="69">
        <v>365.87029215958864</v>
      </c>
      <c r="H17" s="82"/>
      <c r="I17" s="69">
        <v>561.6438356164385</v>
      </c>
      <c r="J17" s="82"/>
      <c r="K17" s="69">
        <v>0</v>
      </c>
      <c r="L17" s="82"/>
      <c r="M17" s="69">
        <v>-927.5141277760267</v>
      </c>
      <c r="N17" s="184"/>
      <c r="O17" s="69">
        <f t="shared" si="0"/>
        <v>0</v>
      </c>
      <c r="P17" s="69"/>
    </row>
    <row r="18" spans="3:16" ht="11.25">
      <c r="C18" s="15" t="s">
        <v>5</v>
      </c>
      <c r="D18" s="27"/>
      <c r="E18" s="27"/>
      <c r="F18" s="27"/>
      <c r="G18" s="82">
        <v>0</v>
      </c>
      <c r="H18" s="82"/>
      <c r="I18" s="82">
        <v>0</v>
      </c>
      <c r="J18" s="82"/>
      <c r="K18" s="82">
        <v>0</v>
      </c>
      <c r="L18" s="82"/>
      <c r="M18" s="82">
        <v>0</v>
      </c>
      <c r="N18" s="184"/>
      <c r="O18" s="69">
        <f t="shared" si="0"/>
        <v>0</v>
      </c>
      <c r="P18" s="69"/>
    </row>
    <row r="19" spans="3:16" ht="11.25">
      <c r="C19" s="2" t="s">
        <v>109</v>
      </c>
      <c r="D19" s="27"/>
      <c r="E19" s="27"/>
      <c r="F19" s="27"/>
      <c r="G19" s="82">
        <v>2369.61</v>
      </c>
      <c r="H19" s="82"/>
      <c r="I19" s="82">
        <v>3735.54</v>
      </c>
      <c r="J19" s="82"/>
      <c r="K19" s="82">
        <v>0</v>
      </c>
      <c r="L19" s="82"/>
      <c r="M19" s="82">
        <v>0</v>
      </c>
      <c r="N19" s="184"/>
      <c r="O19" s="69">
        <f t="shared" si="0"/>
        <v>6105.15</v>
      </c>
      <c r="P19" s="69"/>
    </row>
    <row r="20" spans="3:16" ht="11.25">
      <c r="C20" s="15" t="s">
        <v>6</v>
      </c>
      <c r="D20" s="27"/>
      <c r="E20" s="27"/>
      <c r="F20" s="27"/>
      <c r="G20" s="82">
        <v>0</v>
      </c>
      <c r="H20" s="82"/>
      <c r="I20" s="82">
        <v>0</v>
      </c>
      <c r="J20" s="82"/>
      <c r="K20" s="82">
        <v>0</v>
      </c>
      <c r="L20" s="82"/>
      <c r="M20" s="82">
        <v>0</v>
      </c>
      <c r="N20" s="184"/>
      <c r="O20" s="69">
        <f t="shared" si="0"/>
        <v>0</v>
      </c>
      <c r="P20" s="69"/>
    </row>
    <row r="21" spans="3:16" ht="11.25">
      <c r="C21" s="27" t="s">
        <v>58</v>
      </c>
      <c r="D21" s="27"/>
      <c r="E21" s="27"/>
      <c r="F21" s="27"/>
      <c r="G21" s="82">
        <v>0</v>
      </c>
      <c r="H21" s="82"/>
      <c r="I21" s="82">
        <v>0</v>
      </c>
      <c r="J21" s="82"/>
      <c r="K21" s="82">
        <v>0</v>
      </c>
      <c r="L21" s="82"/>
      <c r="M21" s="82">
        <v>0</v>
      </c>
      <c r="N21" s="184"/>
      <c r="O21" s="82">
        <v>0</v>
      </c>
      <c r="P21" s="69"/>
    </row>
    <row r="22" spans="2:18" ht="11.25">
      <c r="B22" s="2" t="s">
        <v>30</v>
      </c>
      <c r="C22" s="27"/>
      <c r="D22" s="27"/>
      <c r="E22" s="27"/>
      <c r="F22" s="27"/>
      <c r="G22" s="185">
        <f>SUM(G14:G21)</f>
        <v>-9910.679592443148</v>
      </c>
      <c r="H22" s="82"/>
      <c r="I22" s="185">
        <f>SUM(I14:I21)</f>
        <v>5749.003002247844</v>
      </c>
      <c r="J22" s="82"/>
      <c r="K22" s="185">
        <v>0</v>
      </c>
      <c r="L22" s="82"/>
      <c r="M22" s="185">
        <v>0</v>
      </c>
      <c r="N22" s="184"/>
      <c r="O22" s="185">
        <f>SUM(O14:O21)</f>
        <v>-4161.676590195306</v>
      </c>
      <c r="P22" s="69"/>
      <c r="R22" s="193"/>
    </row>
    <row r="23" spans="3:16" ht="11.25">
      <c r="C23" s="27"/>
      <c r="D23" s="27"/>
      <c r="E23" s="27"/>
      <c r="F23" s="27"/>
      <c r="G23" s="69"/>
      <c r="H23" s="69"/>
      <c r="I23" s="69"/>
      <c r="J23" s="69"/>
      <c r="K23" s="69"/>
      <c r="L23" s="69"/>
      <c r="M23" s="69"/>
      <c r="N23" s="153"/>
      <c r="O23" s="69"/>
      <c r="P23" s="69"/>
    </row>
    <row r="24" spans="2:17" ht="11.25">
      <c r="B24" s="2" t="s">
        <v>88</v>
      </c>
      <c r="C24" s="27"/>
      <c r="D24" s="27"/>
      <c r="E24" s="27"/>
      <c r="F24" s="27"/>
      <c r="G24" s="69">
        <f>G11+G22</f>
        <v>-21222.498870004783</v>
      </c>
      <c r="H24" s="69">
        <f aca="true" t="shared" si="1" ref="H24:M24">H11+H22</f>
        <v>0</v>
      </c>
      <c r="I24" s="69">
        <f t="shared" si="1"/>
        <v>1546.5027173405797</v>
      </c>
      <c r="J24" s="69">
        <f t="shared" si="1"/>
        <v>0</v>
      </c>
      <c r="K24" s="69">
        <f t="shared" si="1"/>
        <v>-4282.316666666667</v>
      </c>
      <c r="L24" s="69">
        <f t="shared" si="1"/>
        <v>0</v>
      </c>
      <c r="M24" s="69">
        <f t="shared" si="1"/>
        <v>0</v>
      </c>
      <c r="N24" s="153"/>
      <c r="O24" s="69">
        <f>SUM(G24:M24)</f>
        <v>-23958.31281933087</v>
      </c>
      <c r="P24" s="69"/>
      <c r="Q24" s="193"/>
    </row>
    <row r="25" spans="7:16" ht="11.25">
      <c r="G25" s="184"/>
      <c r="H25" s="153"/>
      <c r="I25" s="184"/>
      <c r="J25" s="153"/>
      <c r="K25" s="184"/>
      <c r="L25" s="153"/>
      <c r="M25" s="184"/>
      <c r="N25" s="153"/>
      <c r="O25" s="184"/>
      <c r="P25" s="69"/>
    </row>
    <row r="26" spans="3:16" ht="11.25">
      <c r="C26" s="116" t="s">
        <v>110</v>
      </c>
      <c r="G26" s="69">
        <v>-316.4063</v>
      </c>
      <c r="H26" s="69"/>
      <c r="I26" s="69">
        <v>-632.8125</v>
      </c>
      <c r="J26" s="69"/>
      <c r="K26" s="69">
        <v>0</v>
      </c>
      <c r="L26" s="69"/>
      <c r="M26" s="69">
        <v>0</v>
      </c>
      <c r="N26" s="153"/>
      <c r="O26" s="69">
        <f>SUM(G26:M26)</f>
        <v>-949.2188</v>
      </c>
      <c r="P26" s="69"/>
    </row>
    <row r="27" spans="3:16" ht="11.25">
      <c r="C27" s="15" t="s">
        <v>56</v>
      </c>
      <c r="G27" s="69">
        <v>0</v>
      </c>
      <c r="H27" s="69"/>
      <c r="I27" s="69">
        <v>0</v>
      </c>
      <c r="J27" s="69"/>
      <c r="K27" s="69">
        <v>0</v>
      </c>
      <c r="L27" s="69"/>
      <c r="M27" s="69">
        <v>0</v>
      </c>
      <c r="N27" s="153"/>
      <c r="O27" s="69">
        <v>0</v>
      </c>
      <c r="P27" s="69"/>
    </row>
    <row r="28" spans="3:16" ht="11.25">
      <c r="C28" s="29" t="s">
        <v>55</v>
      </c>
      <c r="G28" s="69">
        <v>6156.690000000002</v>
      </c>
      <c r="H28" s="69"/>
      <c r="I28" s="69">
        <v>155.26500000000033</v>
      </c>
      <c r="J28" s="69"/>
      <c r="K28" s="69">
        <v>0</v>
      </c>
      <c r="L28" s="69"/>
      <c r="M28" s="69">
        <v>0</v>
      </c>
      <c r="N28" s="153"/>
      <c r="O28" s="69">
        <v>6311.955000000003</v>
      </c>
      <c r="P28" s="69"/>
    </row>
    <row r="29" spans="2:16" ht="11.25">
      <c r="B29" s="29"/>
      <c r="G29" s="69"/>
      <c r="H29" s="69"/>
      <c r="I29" s="69"/>
      <c r="J29" s="69"/>
      <c r="K29" s="69"/>
      <c r="L29" s="69"/>
      <c r="M29" s="69"/>
      <c r="N29" s="153"/>
      <c r="O29" s="69"/>
      <c r="P29" s="69"/>
    </row>
    <row r="30" spans="2:16" ht="11.25">
      <c r="B30" s="116" t="s">
        <v>85</v>
      </c>
      <c r="G30" s="185">
        <f>SUM(G26:G28)</f>
        <v>5840.283700000003</v>
      </c>
      <c r="H30" s="69"/>
      <c r="I30" s="185">
        <f>SUM(I26:I28)</f>
        <v>-477.5474999999997</v>
      </c>
      <c r="J30" s="69"/>
      <c r="K30" s="185">
        <v>0</v>
      </c>
      <c r="L30" s="69"/>
      <c r="M30" s="185">
        <v>0</v>
      </c>
      <c r="N30" s="153"/>
      <c r="O30" s="185">
        <f>SUM(O26:O28)</f>
        <v>5362.736200000003</v>
      </c>
      <c r="P30" s="69"/>
    </row>
    <row r="31" spans="2:16" ht="11.25">
      <c r="B31" s="29"/>
      <c r="G31" s="69"/>
      <c r="H31" s="69"/>
      <c r="I31" s="69"/>
      <c r="J31" s="69"/>
      <c r="K31" s="69"/>
      <c r="L31" s="69"/>
      <c r="M31" s="69"/>
      <c r="N31" s="153"/>
      <c r="O31" s="69"/>
      <c r="P31" s="69"/>
    </row>
    <row r="32" spans="3:16" ht="11.25">
      <c r="C32" s="117" t="s">
        <v>95</v>
      </c>
      <c r="D32" s="19"/>
      <c r="E32" s="19"/>
      <c r="F32" s="19"/>
      <c r="G32" s="82">
        <v>0</v>
      </c>
      <c r="H32" s="82"/>
      <c r="I32" s="82">
        <v>0</v>
      </c>
      <c r="J32" s="82"/>
      <c r="K32" s="82">
        <f>'MLC Revolver'!AQ6</f>
        <v>25000</v>
      </c>
      <c r="L32" s="82"/>
      <c r="M32" s="82">
        <v>0</v>
      </c>
      <c r="N32" s="153"/>
      <c r="O32" s="69">
        <f>SUM(G32:M32)</f>
        <v>25000</v>
      </c>
      <c r="P32" s="69"/>
    </row>
    <row r="33" spans="3:16" ht="11.25">
      <c r="C33" s="27" t="s">
        <v>96</v>
      </c>
      <c r="D33" s="19"/>
      <c r="E33" s="19"/>
      <c r="F33" s="19"/>
      <c r="G33" s="82">
        <v>-16666.666000000027</v>
      </c>
      <c r="H33" s="82"/>
      <c r="I33" s="82">
        <v>-8000</v>
      </c>
      <c r="J33" s="82"/>
      <c r="K33" s="82">
        <v>-8000</v>
      </c>
      <c r="L33" s="82"/>
      <c r="M33" s="82">
        <v>0</v>
      </c>
      <c r="N33" s="153"/>
      <c r="O33" s="69">
        <f>SUM(G33:M33)</f>
        <v>-32666.666000000027</v>
      </c>
      <c r="P33" s="69"/>
    </row>
    <row r="34" spans="7:16" ht="11.25"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11.25">
      <c r="B35" s="2" t="s">
        <v>86</v>
      </c>
      <c r="G35" s="185">
        <f>SUM(G32:G33)</f>
        <v>-16666.666000000027</v>
      </c>
      <c r="H35" s="185">
        <f>SUM(H32:H33)</f>
        <v>0</v>
      </c>
      <c r="I35" s="185">
        <f>SUM(I32:I33)</f>
        <v>-8000</v>
      </c>
      <c r="J35" s="185">
        <f>SUM(J32:J33)</f>
        <v>0</v>
      </c>
      <c r="K35" s="185">
        <f>SUM(K32:K33)</f>
        <v>17000</v>
      </c>
      <c r="L35" s="69"/>
      <c r="M35" s="185">
        <v>0</v>
      </c>
      <c r="N35" s="69"/>
      <c r="O35" s="185">
        <f>SUM(O32:O33)</f>
        <v>-7666.6660000000265</v>
      </c>
      <c r="P35" s="69"/>
    </row>
    <row r="36" spans="7:16" ht="11.25">
      <c r="G36" s="69"/>
      <c r="H36" s="69">
        <f>H24+H30+H35</f>
        <v>0</v>
      </c>
      <c r="I36" s="69"/>
      <c r="J36" s="69"/>
      <c r="K36" s="69"/>
      <c r="L36" s="69"/>
      <c r="M36" s="69"/>
      <c r="N36" s="69"/>
      <c r="O36" s="69"/>
      <c r="P36" s="69"/>
    </row>
    <row r="37" spans="2:18" ht="12" thickBot="1">
      <c r="B37" s="2" t="s">
        <v>87</v>
      </c>
      <c r="G37" s="186">
        <f>G24+G30+G35</f>
        <v>-32048.881170004806</v>
      </c>
      <c r="H37" s="186">
        <f aca="true" t="shared" si="2" ref="H37:O37">H24+H30+H35</f>
        <v>0</v>
      </c>
      <c r="I37" s="186">
        <f t="shared" si="2"/>
        <v>-6931.04478265942</v>
      </c>
      <c r="J37" s="186">
        <f t="shared" si="2"/>
        <v>0</v>
      </c>
      <c r="K37" s="186">
        <f t="shared" si="2"/>
        <v>12717.683333333334</v>
      </c>
      <c r="L37" s="186">
        <f t="shared" si="2"/>
        <v>0</v>
      </c>
      <c r="M37" s="186">
        <f t="shared" si="2"/>
        <v>0</v>
      </c>
      <c r="N37" s="186">
        <f t="shared" si="2"/>
        <v>0</v>
      </c>
      <c r="O37" s="186">
        <f t="shared" si="2"/>
        <v>-26262.242619330893</v>
      </c>
      <c r="P37" s="69"/>
      <c r="R37" s="193"/>
    </row>
    <row r="38" spans="7:16" ht="12" thickTop="1"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1.25">
      <c r="B39" s="2" t="s">
        <v>93</v>
      </c>
      <c r="G39" s="70">
        <f>'CF 2018'!G41</f>
        <v>-62219.22349938425</v>
      </c>
      <c r="H39" s="70"/>
      <c r="I39" s="70">
        <f>'CF 2018'!I41</f>
        <v>2166.508817615013</v>
      </c>
      <c r="J39" s="70">
        <f>'CF 2018'!J41</f>
        <v>0</v>
      </c>
      <c r="K39" s="70">
        <f>'CF 2018'!K41</f>
        <v>-4095.929166666667</v>
      </c>
      <c r="L39" s="70">
        <f>'CF 2018'!L41</f>
        <v>0</v>
      </c>
      <c r="M39" s="70">
        <v>0</v>
      </c>
      <c r="N39" s="70"/>
      <c r="O39" s="70">
        <f>SUM(G39:M39)</f>
        <v>-64148.64384843591</v>
      </c>
      <c r="P39" s="69"/>
    </row>
    <row r="40" spans="2:18" ht="11.25">
      <c r="B40" s="2" t="s">
        <v>92</v>
      </c>
      <c r="G40" s="67">
        <f>G37</f>
        <v>-32048.881170004806</v>
      </c>
      <c r="H40" s="67">
        <f>H37</f>
        <v>0</v>
      </c>
      <c r="I40" s="67">
        <f>I37</f>
        <v>-6931.04478265942</v>
      </c>
      <c r="J40" s="67">
        <f>J37</f>
        <v>0</v>
      </c>
      <c r="K40" s="67">
        <f>K37</f>
        <v>12717.683333333334</v>
      </c>
      <c r="L40" s="69"/>
      <c r="M40" s="67">
        <v>0</v>
      </c>
      <c r="N40" s="69"/>
      <c r="O40" s="69">
        <f>SUM(G40:M40)</f>
        <v>-26262.242619330893</v>
      </c>
      <c r="P40" s="69"/>
      <c r="R40" s="194"/>
    </row>
    <row r="41" spans="2:16" ht="11.25">
      <c r="B41" s="2" t="s">
        <v>94</v>
      </c>
      <c r="G41" s="187">
        <f>G39+G40</f>
        <v>-94268.10466938905</v>
      </c>
      <c r="H41" s="70"/>
      <c r="I41" s="187">
        <f>I39+I40</f>
        <v>-4764.535965044407</v>
      </c>
      <c r="J41" s="70"/>
      <c r="K41" s="187">
        <f>K39+K40</f>
        <v>8621.754166666668</v>
      </c>
      <c r="L41" s="70"/>
      <c r="M41" s="187">
        <v>-0.16638000000057218</v>
      </c>
      <c r="N41" s="70"/>
      <c r="O41" s="187">
        <f>SUM(G41:M41)</f>
        <v>-90411.05284776678</v>
      </c>
      <c r="P41" s="69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pane xSplit="3" ySplit="4" topLeftCell="D57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74" sqref="A74"/>
    </sheetView>
  </sheetViews>
  <sheetFormatPr defaultColWidth="8.57421875" defaultRowHeight="12.75"/>
  <cols>
    <col min="1" max="2" width="11.57421875" style="71" bestFit="1" customWidth="1"/>
    <col min="3" max="3" width="2.8515625" style="71" customWidth="1"/>
    <col min="4" max="4" width="13.140625" style="135" bestFit="1" customWidth="1"/>
    <col min="5" max="5" width="10.8515625" style="135" bestFit="1" customWidth="1"/>
    <col min="6" max="6" width="11.57421875" style="135" bestFit="1" customWidth="1"/>
    <col min="7" max="7" width="12.8515625" style="135" bestFit="1" customWidth="1"/>
    <col min="8" max="8" width="14.00390625" style="75" bestFit="1" customWidth="1"/>
    <col min="9" max="9" width="10.421875" style="139" bestFit="1" customWidth="1"/>
    <col min="10" max="10" width="6.57421875" style="71" bestFit="1" customWidth="1"/>
    <col min="11" max="11" width="10.140625" style="71" bestFit="1" customWidth="1"/>
    <col min="12" max="12" width="13.57421875" style="71" bestFit="1" customWidth="1"/>
    <col min="13" max="13" width="10.140625" style="71" bestFit="1" customWidth="1"/>
    <col min="14" max="14" width="11.00390625" style="71" bestFit="1" customWidth="1"/>
    <col min="15" max="15" width="9.421875" style="71" bestFit="1" customWidth="1"/>
    <col min="16" max="16384" width="8.57421875" style="71" customWidth="1"/>
  </cols>
  <sheetData>
    <row r="1" spans="1:10" ht="19.5">
      <c r="A1" s="217" t="s">
        <v>105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ht="18" thickBot="1">
      <c r="A2" s="220" t="s">
        <v>128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12" customHeight="1" thickTop="1">
      <c r="A3" s="118"/>
      <c r="B3" s="118"/>
      <c r="C3" s="118"/>
      <c r="D3" s="164" t="s">
        <v>101</v>
      </c>
      <c r="E3" s="118"/>
      <c r="F3" s="118"/>
      <c r="G3" s="118"/>
      <c r="H3" s="118"/>
      <c r="I3" s="118"/>
      <c r="J3" s="118"/>
    </row>
    <row r="4" spans="1:10" s="73" customFormat="1" ht="12">
      <c r="A4" s="72" t="s">
        <v>70</v>
      </c>
      <c r="B4" s="72" t="s">
        <v>71</v>
      </c>
      <c r="D4" s="134" t="s">
        <v>72</v>
      </c>
      <c r="E4" s="134" t="s">
        <v>73</v>
      </c>
      <c r="F4" s="134" t="s">
        <v>74</v>
      </c>
      <c r="G4" s="134" t="s">
        <v>75</v>
      </c>
      <c r="H4" s="74" t="s">
        <v>76</v>
      </c>
      <c r="I4" s="134" t="s">
        <v>79</v>
      </c>
      <c r="J4" s="72" t="s">
        <v>77</v>
      </c>
    </row>
    <row r="5" spans="4:8" ht="12">
      <c r="D5" s="135">
        <v>0</v>
      </c>
      <c r="H5" s="162">
        <v>0.065</v>
      </c>
    </row>
    <row r="6" spans="1:10" ht="12">
      <c r="A6" s="76"/>
      <c r="B6" s="76">
        <v>41912</v>
      </c>
      <c r="C6" s="76"/>
      <c r="D6" s="135">
        <v>0</v>
      </c>
      <c r="E6" s="135">
        <v>80000</v>
      </c>
      <c r="G6" s="135">
        <f>SUM(D6:F6)</f>
        <v>80000</v>
      </c>
      <c r="H6" s="163">
        <f>H5</f>
        <v>0.065</v>
      </c>
      <c r="J6" s="75"/>
    </row>
    <row r="7" spans="1:10" ht="12">
      <c r="A7" s="76">
        <f>B6</f>
        <v>41912</v>
      </c>
      <c r="B7" s="76">
        <v>41943</v>
      </c>
      <c r="C7" s="77"/>
      <c r="D7" s="135">
        <f>G6</f>
        <v>80000</v>
      </c>
      <c r="G7" s="135">
        <f>SUM(D7:F7)</f>
        <v>80000</v>
      </c>
      <c r="H7" s="163">
        <f aca="true" t="shared" si="0" ref="H7:H66">H6</f>
        <v>0.065</v>
      </c>
      <c r="I7" s="139">
        <f>D7*H7/360*J7</f>
        <v>447.77777777777777</v>
      </c>
      <c r="J7" s="75">
        <f>B7-A7</f>
        <v>31</v>
      </c>
    </row>
    <row r="8" spans="1:10" ht="12">
      <c r="A8" s="76">
        <f aca="true" t="shared" si="1" ref="A8:A66">B7</f>
        <v>41943</v>
      </c>
      <c r="B8" s="76">
        <v>41973</v>
      </c>
      <c r="C8" s="77"/>
      <c r="D8" s="135">
        <f>G7</f>
        <v>80000</v>
      </c>
      <c r="G8" s="135">
        <f>SUM(D8:F8)</f>
        <v>80000</v>
      </c>
      <c r="H8" s="163">
        <f t="shared" si="0"/>
        <v>0.065</v>
      </c>
      <c r="I8" s="139">
        <f aca="true" t="shared" si="2" ref="I8:I66">D8*H8/360*J8</f>
        <v>433.3333333333333</v>
      </c>
      <c r="J8" s="75">
        <f>B8-A8</f>
        <v>30</v>
      </c>
    </row>
    <row r="9" spans="1:10" s="166" customFormat="1" ht="12.75">
      <c r="A9" s="165">
        <f t="shared" si="1"/>
        <v>41973</v>
      </c>
      <c r="B9" s="165">
        <v>42004</v>
      </c>
      <c r="C9" s="210"/>
      <c r="D9" s="152">
        <f>G8</f>
        <v>80000</v>
      </c>
      <c r="E9" s="152"/>
      <c r="F9" s="152"/>
      <c r="G9" s="152">
        <f>SUM(D9:F9)</f>
        <v>80000</v>
      </c>
      <c r="H9" s="167">
        <f t="shared" si="0"/>
        <v>0.065</v>
      </c>
      <c r="I9" s="152">
        <f t="shared" si="2"/>
        <v>447.77777777777777</v>
      </c>
      <c r="J9" s="168">
        <f>B9-A9</f>
        <v>31</v>
      </c>
    </row>
    <row r="10" spans="1:10" ht="12">
      <c r="A10" s="76">
        <f t="shared" si="1"/>
        <v>42004</v>
      </c>
      <c r="B10" s="76">
        <v>42035</v>
      </c>
      <c r="C10" s="77"/>
      <c r="D10" s="135">
        <f aca="true" t="shared" si="3" ref="D10:D66">G9</f>
        <v>80000</v>
      </c>
      <c r="G10" s="135">
        <f aca="true" t="shared" si="4" ref="G10:G66">SUM(D10:F10)</f>
        <v>80000</v>
      </c>
      <c r="H10" s="163">
        <f t="shared" si="0"/>
        <v>0.065</v>
      </c>
      <c r="I10" s="139">
        <f t="shared" si="2"/>
        <v>447.77777777777777</v>
      </c>
      <c r="J10" s="75">
        <f>B10-A10</f>
        <v>31</v>
      </c>
    </row>
    <row r="11" spans="1:14" ht="12">
      <c r="A11" s="76">
        <f t="shared" si="1"/>
        <v>42035</v>
      </c>
      <c r="B11" s="76">
        <v>42063</v>
      </c>
      <c r="C11" s="77"/>
      <c r="D11" s="135">
        <f t="shared" si="3"/>
        <v>80000</v>
      </c>
      <c r="G11" s="135">
        <f t="shared" si="4"/>
        <v>80000</v>
      </c>
      <c r="H11" s="163">
        <f t="shared" si="0"/>
        <v>0.065</v>
      </c>
      <c r="I11" s="139">
        <f t="shared" si="2"/>
        <v>404.44444444444446</v>
      </c>
      <c r="J11" s="75">
        <f aca="true" t="shared" si="5" ref="J11:J28">B11-A11</f>
        <v>28</v>
      </c>
      <c r="N11" s="79"/>
    </row>
    <row r="12" spans="1:10" ht="12">
      <c r="A12" s="76">
        <f t="shared" si="1"/>
        <v>42063</v>
      </c>
      <c r="B12" s="76">
        <v>42094</v>
      </c>
      <c r="C12" s="77"/>
      <c r="D12" s="135">
        <f t="shared" si="3"/>
        <v>80000</v>
      </c>
      <c r="F12" s="135">
        <v>-4000</v>
      </c>
      <c r="G12" s="135">
        <f t="shared" si="4"/>
        <v>76000</v>
      </c>
      <c r="H12" s="163">
        <f t="shared" si="0"/>
        <v>0.065</v>
      </c>
      <c r="I12" s="139">
        <f t="shared" si="2"/>
        <v>447.77777777777777</v>
      </c>
      <c r="J12" s="75">
        <f t="shared" si="5"/>
        <v>31</v>
      </c>
    </row>
    <row r="13" spans="1:10" ht="12">
      <c r="A13" s="76">
        <f t="shared" si="1"/>
        <v>42094</v>
      </c>
      <c r="B13" s="76">
        <v>42124</v>
      </c>
      <c r="D13" s="135">
        <f t="shared" si="3"/>
        <v>76000</v>
      </c>
      <c r="G13" s="135">
        <f t="shared" si="4"/>
        <v>76000</v>
      </c>
      <c r="H13" s="163">
        <f t="shared" si="0"/>
        <v>0.065</v>
      </c>
      <c r="I13" s="139">
        <f t="shared" si="2"/>
        <v>411.66666666666663</v>
      </c>
      <c r="J13" s="75">
        <f t="shared" si="5"/>
        <v>30</v>
      </c>
    </row>
    <row r="14" spans="1:10" ht="12">
      <c r="A14" s="76">
        <f t="shared" si="1"/>
        <v>42124</v>
      </c>
      <c r="B14" s="76">
        <v>42155</v>
      </c>
      <c r="C14" s="133"/>
      <c r="D14" s="135">
        <f t="shared" si="3"/>
        <v>76000</v>
      </c>
      <c r="E14" s="136"/>
      <c r="F14" s="136"/>
      <c r="G14" s="135">
        <f t="shared" si="4"/>
        <v>76000</v>
      </c>
      <c r="H14" s="163">
        <f t="shared" si="0"/>
        <v>0.065</v>
      </c>
      <c r="I14" s="139">
        <f t="shared" si="2"/>
        <v>425.38888888888886</v>
      </c>
      <c r="J14" s="75">
        <f t="shared" si="5"/>
        <v>31</v>
      </c>
    </row>
    <row r="15" spans="1:10" ht="12">
      <c r="A15" s="76">
        <f t="shared" si="1"/>
        <v>42155</v>
      </c>
      <c r="B15" s="76">
        <v>42185</v>
      </c>
      <c r="D15" s="135">
        <f t="shared" si="3"/>
        <v>76000</v>
      </c>
      <c r="G15" s="135">
        <f t="shared" si="4"/>
        <v>76000</v>
      </c>
      <c r="H15" s="163">
        <f t="shared" si="0"/>
        <v>0.065</v>
      </c>
      <c r="I15" s="139">
        <f t="shared" si="2"/>
        <v>411.66666666666663</v>
      </c>
      <c r="J15" s="75">
        <f t="shared" si="5"/>
        <v>30</v>
      </c>
    </row>
    <row r="16" spans="1:10" ht="12">
      <c r="A16" s="76">
        <f t="shared" si="1"/>
        <v>42185</v>
      </c>
      <c r="B16" s="76">
        <v>42216</v>
      </c>
      <c r="D16" s="135">
        <f t="shared" si="3"/>
        <v>76000</v>
      </c>
      <c r="G16" s="135">
        <f t="shared" si="4"/>
        <v>76000</v>
      </c>
      <c r="H16" s="163">
        <f t="shared" si="0"/>
        <v>0.065</v>
      </c>
      <c r="I16" s="139">
        <f t="shared" si="2"/>
        <v>425.38888888888886</v>
      </c>
      <c r="J16" s="75">
        <f t="shared" si="5"/>
        <v>31</v>
      </c>
    </row>
    <row r="17" spans="1:11" ht="12">
      <c r="A17" s="76">
        <f t="shared" si="1"/>
        <v>42216</v>
      </c>
      <c r="B17" s="76">
        <v>42247</v>
      </c>
      <c r="D17" s="135">
        <f t="shared" si="3"/>
        <v>76000</v>
      </c>
      <c r="G17" s="135">
        <f t="shared" si="4"/>
        <v>76000</v>
      </c>
      <c r="H17" s="163">
        <f t="shared" si="0"/>
        <v>0.065</v>
      </c>
      <c r="I17" s="139">
        <f t="shared" si="2"/>
        <v>425.38888888888886</v>
      </c>
      <c r="J17" s="75">
        <f t="shared" si="5"/>
        <v>31</v>
      </c>
      <c r="K17" s="79"/>
    </row>
    <row r="18" spans="1:10" s="80" customFormat="1" ht="12">
      <c r="A18" s="76">
        <f t="shared" si="1"/>
        <v>42247</v>
      </c>
      <c r="B18" s="76">
        <v>42277</v>
      </c>
      <c r="D18" s="135">
        <f t="shared" si="3"/>
        <v>76000</v>
      </c>
      <c r="E18" s="137"/>
      <c r="F18" s="135">
        <v>-4000</v>
      </c>
      <c r="G18" s="135">
        <f t="shared" si="4"/>
        <v>72000</v>
      </c>
      <c r="H18" s="163">
        <f t="shared" si="0"/>
        <v>0.065</v>
      </c>
      <c r="I18" s="139">
        <f t="shared" si="2"/>
        <v>411.66666666666663</v>
      </c>
      <c r="J18" s="75">
        <f t="shared" si="5"/>
        <v>30</v>
      </c>
    </row>
    <row r="19" spans="1:10" ht="12">
      <c r="A19" s="76">
        <f t="shared" si="1"/>
        <v>42277</v>
      </c>
      <c r="B19" s="76">
        <v>42308</v>
      </c>
      <c r="D19" s="135">
        <f t="shared" si="3"/>
        <v>72000</v>
      </c>
      <c r="G19" s="135">
        <f t="shared" si="4"/>
        <v>72000</v>
      </c>
      <c r="H19" s="163">
        <f t="shared" si="0"/>
        <v>0.065</v>
      </c>
      <c r="I19" s="139">
        <f t="shared" si="2"/>
        <v>403</v>
      </c>
      <c r="J19" s="75">
        <f t="shared" si="5"/>
        <v>31</v>
      </c>
    </row>
    <row r="20" spans="1:10" ht="12">
      <c r="A20" s="76">
        <f t="shared" si="1"/>
        <v>42308</v>
      </c>
      <c r="B20" s="76">
        <v>42338</v>
      </c>
      <c r="D20" s="135">
        <f t="shared" si="3"/>
        <v>72000</v>
      </c>
      <c r="G20" s="135">
        <f t="shared" si="4"/>
        <v>72000</v>
      </c>
      <c r="H20" s="163">
        <f t="shared" si="0"/>
        <v>0.065</v>
      </c>
      <c r="I20" s="139">
        <f t="shared" si="2"/>
        <v>390</v>
      </c>
      <c r="J20" s="75">
        <f t="shared" si="5"/>
        <v>30</v>
      </c>
    </row>
    <row r="21" spans="1:10" s="208" customFormat="1" ht="12.75">
      <c r="A21" s="165">
        <f t="shared" si="1"/>
        <v>42338</v>
      </c>
      <c r="B21" s="165">
        <v>42369</v>
      </c>
      <c r="D21" s="152">
        <f t="shared" si="3"/>
        <v>72000</v>
      </c>
      <c r="E21" s="209"/>
      <c r="F21" s="209"/>
      <c r="G21" s="152">
        <f t="shared" si="4"/>
        <v>72000</v>
      </c>
      <c r="H21" s="167">
        <f t="shared" si="0"/>
        <v>0.065</v>
      </c>
      <c r="I21" s="152">
        <f t="shared" si="2"/>
        <v>403</v>
      </c>
      <c r="J21" s="168">
        <f t="shared" si="5"/>
        <v>31</v>
      </c>
    </row>
    <row r="22" spans="1:10" ht="12">
      <c r="A22" s="76">
        <f t="shared" si="1"/>
        <v>42369</v>
      </c>
      <c r="B22" s="76">
        <v>42400</v>
      </c>
      <c r="D22" s="135">
        <f t="shared" si="3"/>
        <v>72000</v>
      </c>
      <c r="G22" s="135">
        <f t="shared" si="4"/>
        <v>72000</v>
      </c>
      <c r="H22" s="163">
        <f t="shared" si="0"/>
        <v>0.065</v>
      </c>
      <c r="I22" s="139">
        <f t="shared" si="2"/>
        <v>403</v>
      </c>
      <c r="J22" s="75">
        <f t="shared" si="5"/>
        <v>31</v>
      </c>
    </row>
    <row r="23" spans="1:10" ht="12">
      <c r="A23" s="76">
        <f t="shared" si="1"/>
        <v>42400</v>
      </c>
      <c r="B23" s="76">
        <v>42429</v>
      </c>
      <c r="D23" s="135">
        <f t="shared" si="3"/>
        <v>72000</v>
      </c>
      <c r="G23" s="135">
        <f t="shared" si="4"/>
        <v>72000</v>
      </c>
      <c r="H23" s="163">
        <f t="shared" si="0"/>
        <v>0.065</v>
      </c>
      <c r="I23" s="139">
        <f t="shared" si="2"/>
        <v>377</v>
      </c>
      <c r="J23" s="75">
        <f t="shared" si="5"/>
        <v>29</v>
      </c>
    </row>
    <row r="24" spans="1:10" ht="12">
      <c r="A24" s="76">
        <f t="shared" si="1"/>
        <v>42429</v>
      </c>
      <c r="B24" s="76">
        <v>42460</v>
      </c>
      <c r="D24" s="135">
        <f t="shared" si="3"/>
        <v>72000</v>
      </c>
      <c r="F24" s="135">
        <v>-4000</v>
      </c>
      <c r="G24" s="135">
        <f t="shared" si="4"/>
        <v>68000</v>
      </c>
      <c r="H24" s="163">
        <f t="shared" si="0"/>
        <v>0.065</v>
      </c>
      <c r="I24" s="139">
        <f t="shared" si="2"/>
        <v>403</v>
      </c>
      <c r="J24" s="75">
        <f t="shared" si="5"/>
        <v>31</v>
      </c>
    </row>
    <row r="25" spans="1:10" ht="12">
      <c r="A25" s="76">
        <f t="shared" si="1"/>
        <v>42460</v>
      </c>
      <c r="B25" s="76">
        <v>42490</v>
      </c>
      <c r="D25" s="135">
        <f t="shared" si="3"/>
        <v>68000</v>
      </c>
      <c r="G25" s="135">
        <f t="shared" si="4"/>
        <v>68000</v>
      </c>
      <c r="H25" s="163">
        <f t="shared" si="0"/>
        <v>0.065</v>
      </c>
      <c r="I25" s="139">
        <f t="shared" si="2"/>
        <v>368.33333333333337</v>
      </c>
      <c r="J25" s="75">
        <f t="shared" si="5"/>
        <v>30</v>
      </c>
    </row>
    <row r="26" spans="1:10" ht="12">
      <c r="A26" s="76">
        <f t="shared" si="1"/>
        <v>42490</v>
      </c>
      <c r="B26" s="76">
        <v>42521</v>
      </c>
      <c r="D26" s="135">
        <f t="shared" si="3"/>
        <v>68000</v>
      </c>
      <c r="G26" s="135">
        <f t="shared" si="4"/>
        <v>68000</v>
      </c>
      <c r="H26" s="163">
        <f t="shared" si="0"/>
        <v>0.065</v>
      </c>
      <c r="I26" s="139">
        <f t="shared" si="2"/>
        <v>380.61111111111114</v>
      </c>
      <c r="J26" s="75">
        <f t="shared" si="5"/>
        <v>31</v>
      </c>
    </row>
    <row r="27" spans="1:10" ht="12">
      <c r="A27" s="76">
        <f t="shared" si="1"/>
        <v>42521</v>
      </c>
      <c r="B27" s="76">
        <v>42551</v>
      </c>
      <c r="D27" s="135">
        <f t="shared" si="3"/>
        <v>68000</v>
      </c>
      <c r="G27" s="135">
        <f t="shared" si="4"/>
        <v>68000</v>
      </c>
      <c r="H27" s="163">
        <f t="shared" si="0"/>
        <v>0.065</v>
      </c>
      <c r="I27" s="139">
        <f t="shared" si="2"/>
        <v>368.33333333333337</v>
      </c>
      <c r="J27" s="75">
        <f t="shared" si="5"/>
        <v>30</v>
      </c>
    </row>
    <row r="28" spans="1:10" ht="12">
      <c r="A28" s="76">
        <f t="shared" si="1"/>
        <v>42551</v>
      </c>
      <c r="B28" s="76">
        <v>42582</v>
      </c>
      <c r="D28" s="135">
        <f t="shared" si="3"/>
        <v>68000</v>
      </c>
      <c r="G28" s="135">
        <f t="shared" si="4"/>
        <v>68000</v>
      </c>
      <c r="H28" s="163">
        <f t="shared" si="0"/>
        <v>0.065</v>
      </c>
      <c r="I28" s="139">
        <f t="shared" si="2"/>
        <v>380.61111111111114</v>
      </c>
      <c r="J28" s="75">
        <f t="shared" si="5"/>
        <v>31</v>
      </c>
    </row>
    <row r="29" spans="1:10" ht="12">
      <c r="A29" s="76">
        <f t="shared" si="1"/>
        <v>42582</v>
      </c>
      <c r="B29" s="76">
        <v>42613</v>
      </c>
      <c r="C29" s="144"/>
      <c r="D29" s="135">
        <f t="shared" si="3"/>
        <v>68000</v>
      </c>
      <c r="E29" s="145"/>
      <c r="F29" s="145"/>
      <c r="G29" s="135">
        <f t="shared" si="4"/>
        <v>68000</v>
      </c>
      <c r="H29" s="163">
        <f t="shared" si="0"/>
        <v>0.065</v>
      </c>
      <c r="I29" s="139">
        <f t="shared" si="2"/>
        <v>380.61111111111114</v>
      </c>
      <c r="J29" s="75">
        <f aca="true" t="shared" si="6" ref="J29:J66">B29-A29</f>
        <v>31</v>
      </c>
    </row>
    <row r="30" spans="1:10" ht="12">
      <c r="A30" s="76">
        <f t="shared" si="1"/>
        <v>42613</v>
      </c>
      <c r="B30" s="76">
        <v>42643</v>
      </c>
      <c r="C30" s="144"/>
      <c r="D30" s="135">
        <f t="shared" si="3"/>
        <v>68000</v>
      </c>
      <c r="E30" s="145"/>
      <c r="F30" s="135">
        <v>-4000</v>
      </c>
      <c r="G30" s="135">
        <f t="shared" si="4"/>
        <v>64000</v>
      </c>
      <c r="H30" s="163">
        <f t="shared" si="0"/>
        <v>0.065</v>
      </c>
      <c r="I30" s="139">
        <f t="shared" si="2"/>
        <v>368.33333333333337</v>
      </c>
      <c r="J30" s="75">
        <f t="shared" si="6"/>
        <v>30</v>
      </c>
    </row>
    <row r="31" spans="1:10" ht="12">
      <c r="A31" s="76">
        <f t="shared" si="1"/>
        <v>42643</v>
      </c>
      <c r="B31" s="76">
        <v>42674</v>
      </c>
      <c r="C31" s="144"/>
      <c r="D31" s="135">
        <f t="shared" si="3"/>
        <v>64000</v>
      </c>
      <c r="E31" s="145"/>
      <c r="F31" s="145"/>
      <c r="G31" s="135">
        <f t="shared" si="4"/>
        <v>64000</v>
      </c>
      <c r="H31" s="163">
        <f t="shared" si="0"/>
        <v>0.065</v>
      </c>
      <c r="I31" s="139">
        <f t="shared" si="2"/>
        <v>358.22222222222223</v>
      </c>
      <c r="J31" s="75">
        <f t="shared" si="6"/>
        <v>31</v>
      </c>
    </row>
    <row r="32" spans="1:10" ht="12">
      <c r="A32" s="76">
        <f t="shared" si="1"/>
        <v>42674</v>
      </c>
      <c r="B32" s="76">
        <v>42704</v>
      </c>
      <c r="D32" s="135">
        <f t="shared" si="3"/>
        <v>64000</v>
      </c>
      <c r="G32" s="135">
        <f t="shared" si="4"/>
        <v>64000</v>
      </c>
      <c r="H32" s="163">
        <f t="shared" si="0"/>
        <v>0.065</v>
      </c>
      <c r="I32" s="139">
        <f t="shared" si="2"/>
        <v>346.6666666666667</v>
      </c>
      <c r="J32" s="75">
        <f t="shared" si="6"/>
        <v>30</v>
      </c>
    </row>
    <row r="33" spans="1:11" s="166" customFormat="1" ht="12.75">
      <c r="A33" s="165">
        <f t="shared" si="1"/>
        <v>42704</v>
      </c>
      <c r="B33" s="165">
        <v>42735</v>
      </c>
      <c r="D33" s="152">
        <f t="shared" si="3"/>
        <v>64000</v>
      </c>
      <c r="E33" s="152"/>
      <c r="F33" s="152"/>
      <c r="G33" s="152">
        <f t="shared" si="4"/>
        <v>64000</v>
      </c>
      <c r="H33" s="167">
        <f t="shared" si="0"/>
        <v>0.065</v>
      </c>
      <c r="I33" s="152">
        <f t="shared" si="2"/>
        <v>358.22222222222223</v>
      </c>
      <c r="J33" s="168">
        <f t="shared" si="6"/>
        <v>31</v>
      </c>
      <c r="K33" s="200"/>
    </row>
    <row r="34" spans="1:12" ht="12">
      <c r="A34" s="76">
        <f t="shared" si="1"/>
        <v>42735</v>
      </c>
      <c r="B34" s="76">
        <v>42766</v>
      </c>
      <c r="D34" s="135">
        <f t="shared" si="3"/>
        <v>64000</v>
      </c>
      <c r="G34" s="135">
        <f t="shared" si="4"/>
        <v>64000</v>
      </c>
      <c r="H34" s="163">
        <f t="shared" si="0"/>
        <v>0.065</v>
      </c>
      <c r="I34" s="139">
        <f t="shared" si="2"/>
        <v>358.22222222222223</v>
      </c>
      <c r="J34" s="75">
        <f t="shared" si="6"/>
        <v>31</v>
      </c>
      <c r="L34" s="201"/>
    </row>
    <row r="35" spans="1:12" ht="12">
      <c r="A35" s="76">
        <f t="shared" si="1"/>
        <v>42766</v>
      </c>
      <c r="B35" s="76">
        <v>42794</v>
      </c>
      <c r="D35" s="135">
        <f t="shared" si="3"/>
        <v>64000</v>
      </c>
      <c r="G35" s="135">
        <f t="shared" si="4"/>
        <v>64000</v>
      </c>
      <c r="H35" s="163">
        <f t="shared" si="0"/>
        <v>0.065</v>
      </c>
      <c r="I35" s="139">
        <f t="shared" si="2"/>
        <v>323.55555555555554</v>
      </c>
      <c r="J35" s="75">
        <f t="shared" si="6"/>
        <v>28</v>
      </c>
      <c r="L35" s="201"/>
    </row>
    <row r="36" spans="1:12" ht="12">
      <c r="A36" s="76">
        <f t="shared" si="1"/>
        <v>42794</v>
      </c>
      <c r="B36" s="76">
        <v>42825</v>
      </c>
      <c r="D36" s="135">
        <f t="shared" si="3"/>
        <v>64000</v>
      </c>
      <c r="F36" s="135">
        <v>-4000</v>
      </c>
      <c r="G36" s="135">
        <f t="shared" si="4"/>
        <v>60000</v>
      </c>
      <c r="H36" s="163">
        <f t="shared" si="0"/>
        <v>0.065</v>
      </c>
      <c r="I36" s="139">
        <f t="shared" si="2"/>
        <v>358.22222222222223</v>
      </c>
      <c r="J36" s="75">
        <f t="shared" si="6"/>
        <v>31</v>
      </c>
      <c r="L36" s="201"/>
    </row>
    <row r="37" spans="1:12" ht="12">
      <c r="A37" s="76">
        <f t="shared" si="1"/>
        <v>42825</v>
      </c>
      <c r="B37" s="76">
        <v>42855</v>
      </c>
      <c r="D37" s="135">
        <f t="shared" si="3"/>
        <v>60000</v>
      </c>
      <c r="G37" s="135">
        <f t="shared" si="4"/>
        <v>60000</v>
      </c>
      <c r="H37" s="163">
        <f t="shared" si="0"/>
        <v>0.065</v>
      </c>
      <c r="I37" s="139">
        <f t="shared" si="2"/>
        <v>325</v>
      </c>
      <c r="J37" s="75">
        <f t="shared" si="6"/>
        <v>30</v>
      </c>
      <c r="L37" s="201"/>
    </row>
    <row r="38" spans="1:12" ht="12">
      <c r="A38" s="76">
        <f t="shared" si="1"/>
        <v>42855</v>
      </c>
      <c r="B38" s="76">
        <v>42886</v>
      </c>
      <c r="D38" s="135">
        <f t="shared" si="3"/>
        <v>60000</v>
      </c>
      <c r="G38" s="135">
        <f t="shared" si="4"/>
        <v>60000</v>
      </c>
      <c r="H38" s="163">
        <f t="shared" si="0"/>
        <v>0.065</v>
      </c>
      <c r="I38" s="139">
        <f t="shared" si="2"/>
        <v>335.83333333333337</v>
      </c>
      <c r="J38" s="75">
        <f t="shared" si="6"/>
        <v>31</v>
      </c>
      <c r="L38" s="201"/>
    </row>
    <row r="39" spans="1:12" ht="12">
      <c r="A39" s="76">
        <f t="shared" si="1"/>
        <v>42886</v>
      </c>
      <c r="B39" s="76">
        <v>42916</v>
      </c>
      <c r="D39" s="135">
        <f t="shared" si="3"/>
        <v>60000</v>
      </c>
      <c r="G39" s="135">
        <f t="shared" si="4"/>
        <v>60000</v>
      </c>
      <c r="H39" s="163">
        <f t="shared" si="0"/>
        <v>0.065</v>
      </c>
      <c r="I39" s="139">
        <f t="shared" si="2"/>
        <v>325</v>
      </c>
      <c r="J39" s="75">
        <f t="shared" si="6"/>
        <v>30</v>
      </c>
      <c r="L39" s="201"/>
    </row>
    <row r="40" spans="1:12" ht="12">
      <c r="A40" s="76">
        <f t="shared" si="1"/>
        <v>42916</v>
      </c>
      <c r="B40" s="76">
        <v>42947</v>
      </c>
      <c r="D40" s="135">
        <f t="shared" si="3"/>
        <v>60000</v>
      </c>
      <c r="G40" s="135">
        <f t="shared" si="4"/>
        <v>60000</v>
      </c>
      <c r="H40" s="163">
        <f t="shared" si="0"/>
        <v>0.065</v>
      </c>
      <c r="I40" s="139">
        <f t="shared" si="2"/>
        <v>335.83333333333337</v>
      </c>
      <c r="J40" s="75">
        <f t="shared" si="6"/>
        <v>31</v>
      </c>
      <c r="L40" s="201"/>
    </row>
    <row r="41" spans="1:12" ht="12">
      <c r="A41" s="76">
        <f t="shared" si="1"/>
        <v>42947</v>
      </c>
      <c r="B41" s="76">
        <v>42978</v>
      </c>
      <c r="D41" s="135">
        <f t="shared" si="3"/>
        <v>60000</v>
      </c>
      <c r="G41" s="135">
        <f t="shared" si="4"/>
        <v>60000</v>
      </c>
      <c r="H41" s="163">
        <f t="shared" si="0"/>
        <v>0.065</v>
      </c>
      <c r="I41" s="139">
        <f t="shared" si="2"/>
        <v>335.83333333333337</v>
      </c>
      <c r="J41" s="75">
        <f t="shared" si="6"/>
        <v>31</v>
      </c>
      <c r="L41" s="201"/>
    </row>
    <row r="42" spans="1:14" ht="12">
      <c r="A42" s="76">
        <f t="shared" si="1"/>
        <v>42978</v>
      </c>
      <c r="B42" s="76">
        <v>43008</v>
      </c>
      <c r="D42" s="135">
        <f t="shared" si="3"/>
        <v>60000</v>
      </c>
      <c r="F42" s="135">
        <v>-4000</v>
      </c>
      <c r="G42" s="135">
        <f t="shared" si="4"/>
        <v>56000</v>
      </c>
      <c r="H42" s="163">
        <f t="shared" si="0"/>
        <v>0.065</v>
      </c>
      <c r="I42" s="139">
        <f t="shared" si="2"/>
        <v>325</v>
      </c>
      <c r="J42" s="75">
        <f t="shared" si="6"/>
        <v>30</v>
      </c>
      <c r="L42" s="201"/>
      <c r="N42" s="129"/>
    </row>
    <row r="43" spans="1:14" ht="12">
      <c r="A43" s="76">
        <f t="shared" si="1"/>
        <v>43008</v>
      </c>
      <c r="B43" s="76">
        <v>43039</v>
      </c>
      <c r="D43" s="135">
        <f t="shared" si="3"/>
        <v>56000</v>
      </c>
      <c r="G43" s="135">
        <f t="shared" si="4"/>
        <v>56000</v>
      </c>
      <c r="H43" s="163">
        <f t="shared" si="0"/>
        <v>0.065</v>
      </c>
      <c r="I43" s="139">
        <f t="shared" si="2"/>
        <v>313.44444444444446</v>
      </c>
      <c r="J43" s="75">
        <f t="shared" si="6"/>
        <v>31</v>
      </c>
      <c r="L43" s="201"/>
      <c r="N43" s="201"/>
    </row>
    <row r="44" spans="1:14" ht="12">
      <c r="A44" s="76">
        <f t="shared" si="1"/>
        <v>43039</v>
      </c>
      <c r="B44" s="76">
        <v>43069</v>
      </c>
      <c r="D44" s="135">
        <f t="shared" si="3"/>
        <v>56000</v>
      </c>
      <c r="G44" s="135">
        <f t="shared" si="4"/>
        <v>56000</v>
      </c>
      <c r="H44" s="163">
        <f t="shared" si="0"/>
        <v>0.065</v>
      </c>
      <c r="I44" s="139">
        <f t="shared" si="2"/>
        <v>303.3333333333333</v>
      </c>
      <c r="J44" s="75">
        <f t="shared" si="6"/>
        <v>30</v>
      </c>
      <c r="L44" s="201"/>
      <c r="N44" s="79"/>
    </row>
    <row r="45" spans="1:12" s="166" customFormat="1" ht="12.75">
      <c r="A45" s="165">
        <f t="shared" si="1"/>
        <v>43069</v>
      </c>
      <c r="B45" s="165">
        <v>43100</v>
      </c>
      <c r="D45" s="152">
        <f t="shared" si="3"/>
        <v>56000</v>
      </c>
      <c r="E45" s="152"/>
      <c r="F45" s="152"/>
      <c r="G45" s="152">
        <f t="shared" si="4"/>
        <v>56000</v>
      </c>
      <c r="H45" s="167">
        <f t="shared" si="0"/>
        <v>0.065</v>
      </c>
      <c r="I45" s="152">
        <f>D45*H45/360*J45</f>
        <v>313.44444444444446</v>
      </c>
      <c r="J45" s="168">
        <f t="shared" si="6"/>
        <v>31</v>
      </c>
      <c r="L45" s="211"/>
    </row>
    <row r="46" spans="1:10" ht="12">
      <c r="A46" s="76">
        <f t="shared" si="1"/>
        <v>43100</v>
      </c>
      <c r="B46" s="76">
        <v>43131</v>
      </c>
      <c r="D46" s="135">
        <f t="shared" si="3"/>
        <v>56000</v>
      </c>
      <c r="G46" s="135">
        <f t="shared" si="4"/>
        <v>56000</v>
      </c>
      <c r="H46" s="163">
        <f t="shared" si="0"/>
        <v>0.065</v>
      </c>
      <c r="I46" s="139">
        <f t="shared" si="2"/>
        <v>313.44444444444446</v>
      </c>
      <c r="J46" s="75">
        <f t="shared" si="6"/>
        <v>31</v>
      </c>
    </row>
    <row r="47" spans="1:10" ht="12">
      <c r="A47" s="76">
        <f t="shared" si="1"/>
        <v>43131</v>
      </c>
      <c r="B47" s="76">
        <v>43159</v>
      </c>
      <c r="D47" s="135">
        <f t="shared" si="3"/>
        <v>56000</v>
      </c>
      <c r="G47" s="135">
        <f t="shared" si="4"/>
        <v>56000</v>
      </c>
      <c r="H47" s="163">
        <f t="shared" si="0"/>
        <v>0.065</v>
      </c>
      <c r="I47" s="139">
        <f t="shared" si="2"/>
        <v>283.1111111111111</v>
      </c>
      <c r="J47" s="75">
        <f t="shared" si="6"/>
        <v>28</v>
      </c>
    </row>
    <row r="48" spans="1:10" ht="12">
      <c r="A48" s="76">
        <f t="shared" si="1"/>
        <v>43159</v>
      </c>
      <c r="B48" s="76">
        <v>43190</v>
      </c>
      <c r="D48" s="135">
        <f t="shared" si="3"/>
        <v>56000</v>
      </c>
      <c r="F48" s="135">
        <v>-4000</v>
      </c>
      <c r="G48" s="135">
        <f t="shared" si="4"/>
        <v>52000</v>
      </c>
      <c r="H48" s="163">
        <f t="shared" si="0"/>
        <v>0.065</v>
      </c>
      <c r="I48" s="139">
        <f t="shared" si="2"/>
        <v>313.44444444444446</v>
      </c>
      <c r="J48" s="75">
        <f t="shared" si="6"/>
        <v>31</v>
      </c>
    </row>
    <row r="49" spans="1:10" ht="12">
      <c r="A49" s="76">
        <f t="shared" si="1"/>
        <v>43190</v>
      </c>
      <c r="B49" s="76">
        <v>43220</v>
      </c>
      <c r="D49" s="135">
        <f t="shared" si="3"/>
        <v>52000</v>
      </c>
      <c r="G49" s="135">
        <f t="shared" si="4"/>
        <v>52000</v>
      </c>
      <c r="H49" s="163">
        <f t="shared" si="0"/>
        <v>0.065</v>
      </c>
      <c r="I49" s="139">
        <f t="shared" si="2"/>
        <v>281.6666666666667</v>
      </c>
      <c r="J49" s="75">
        <f t="shared" si="6"/>
        <v>30</v>
      </c>
    </row>
    <row r="50" spans="1:10" ht="12">
      <c r="A50" s="76">
        <f t="shared" si="1"/>
        <v>43220</v>
      </c>
      <c r="B50" s="76">
        <v>43251</v>
      </c>
      <c r="D50" s="135">
        <f t="shared" si="3"/>
        <v>52000</v>
      </c>
      <c r="G50" s="135">
        <f t="shared" si="4"/>
        <v>52000</v>
      </c>
      <c r="H50" s="163">
        <f t="shared" si="0"/>
        <v>0.065</v>
      </c>
      <c r="I50" s="139">
        <f t="shared" si="2"/>
        <v>291.05555555555554</v>
      </c>
      <c r="J50" s="75">
        <f t="shared" si="6"/>
        <v>31</v>
      </c>
    </row>
    <row r="51" spans="1:10" ht="12">
      <c r="A51" s="76">
        <f t="shared" si="1"/>
        <v>43251</v>
      </c>
      <c r="B51" s="76">
        <v>43281</v>
      </c>
      <c r="D51" s="135">
        <f t="shared" si="3"/>
        <v>52000</v>
      </c>
      <c r="G51" s="135">
        <f t="shared" si="4"/>
        <v>52000</v>
      </c>
      <c r="H51" s="163">
        <f t="shared" si="0"/>
        <v>0.065</v>
      </c>
      <c r="I51" s="139">
        <f t="shared" si="2"/>
        <v>281.6666666666667</v>
      </c>
      <c r="J51" s="75">
        <f t="shared" si="6"/>
        <v>30</v>
      </c>
    </row>
    <row r="52" spans="1:10" ht="12">
      <c r="A52" s="76">
        <f t="shared" si="1"/>
        <v>43281</v>
      </c>
      <c r="B52" s="76">
        <v>43312</v>
      </c>
      <c r="D52" s="135">
        <f t="shared" si="3"/>
        <v>52000</v>
      </c>
      <c r="G52" s="135">
        <f t="shared" si="4"/>
        <v>52000</v>
      </c>
      <c r="H52" s="163">
        <f t="shared" si="0"/>
        <v>0.065</v>
      </c>
      <c r="I52" s="139">
        <f t="shared" si="2"/>
        <v>291.05555555555554</v>
      </c>
      <c r="J52" s="75">
        <f t="shared" si="6"/>
        <v>31</v>
      </c>
    </row>
    <row r="53" spans="1:10" ht="12">
      <c r="A53" s="76">
        <f t="shared" si="1"/>
        <v>43312</v>
      </c>
      <c r="B53" s="76">
        <v>43343</v>
      </c>
      <c r="D53" s="135">
        <f t="shared" si="3"/>
        <v>52000</v>
      </c>
      <c r="G53" s="135">
        <f t="shared" si="4"/>
        <v>52000</v>
      </c>
      <c r="H53" s="163">
        <f t="shared" si="0"/>
        <v>0.065</v>
      </c>
      <c r="I53" s="139">
        <f t="shared" si="2"/>
        <v>291.05555555555554</v>
      </c>
      <c r="J53" s="75">
        <f t="shared" si="6"/>
        <v>31</v>
      </c>
    </row>
    <row r="54" spans="1:10" ht="12">
      <c r="A54" s="76">
        <f t="shared" si="1"/>
        <v>43343</v>
      </c>
      <c r="B54" s="76">
        <v>43373</v>
      </c>
      <c r="D54" s="135">
        <f t="shared" si="3"/>
        <v>52000</v>
      </c>
      <c r="F54" s="135">
        <v>-4000</v>
      </c>
      <c r="G54" s="135">
        <f t="shared" si="4"/>
        <v>48000</v>
      </c>
      <c r="H54" s="163">
        <f t="shared" si="0"/>
        <v>0.065</v>
      </c>
      <c r="I54" s="139">
        <f t="shared" si="2"/>
        <v>281.6666666666667</v>
      </c>
      <c r="J54" s="75">
        <f t="shared" si="6"/>
        <v>30</v>
      </c>
    </row>
    <row r="55" spans="1:10" ht="12">
      <c r="A55" s="76">
        <f t="shared" si="1"/>
        <v>43373</v>
      </c>
      <c r="B55" s="76">
        <v>43404</v>
      </c>
      <c r="D55" s="135">
        <f t="shared" si="3"/>
        <v>48000</v>
      </c>
      <c r="G55" s="135">
        <f t="shared" si="4"/>
        <v>48000</v>
      </c>
      <c r="H55" s="163">
        <f t="shared" si="0"/>
        <v>0.065</v>
      </c>
      <c r="I55" s="139">
        <f t="shared" si="2"/>
        <v>268.66666666666663</v>
      </c>
      <c r="J55" s="75">
        <f t="shared" si="6"/>
        <v>31</v>
      </c>
    </row>
    <row r="56" spans="1:10" ht="12">
      <c r="A56" s="76">
        <f t="shared" si="1"/>
        <v>43404</v>
      </c>
      <c r="B56" s="76">
        <v>43434</v>
      </c>
      <c r="D56" s="135">
        <f t="shared" si="3"/>
        <v>48000</v>
      </c>
      <c r="G56" s="135">
        <f t="shared" si="4"/>
        <v>48000</v>
      </c>
      <c r="H56" s="163">
        <f t="shared" si="0"/>
        <v>0.065</v>
      </c>
      <c r="I56" s="139">
        <f t="shared" si="2"/>
        <v>260</v>
      </c>
      <c r="J56" s="75">
        <f t="shared" si="6"/>
        <v>30</v>
      </c>
    </row>
    <row r="57" spans="1:12" s="166" customFormat="1" ht="12.75">
      <c r="A57" s="165">
        <f t="shared" si="1"/>
        <v>43434</v>
      </c>
      <c r="B57" s="165">
        <v>43465</v>
      </c>
      <c r="D57" s="152">
        <f t="shared" si="3"/>
        <v>48000</v>
      </c>
      <c r="E57" s="152"/>
      <c r="F57" s="152"/>
      <c r="G57" s="152">
        <f t="shared" si="4"/>
        <v>48000</v>
      </c>
      <c r="H57" s="167">
        <f t="shared" si="0"/>
        <v>0.065</v>
      </c>
      <c r="I57" s="152">
        <f t="shared" si="2"/>
        <v>268.66666666666663</v>
      </c>
      <c r="J57" s="168">
        <f t="shared" si="6"/>
        <v>31</v>
      </c>
      <c r="K57" s="200"/>
      <c r="L57" s="200"/>
    </row>
    <row r="58" spans="1:10" ht="12">
      <c r="A58" s="76">
        <f t="shared" si="1"/>
        <v>43465</v>
      </c>
      <c r="B58" s="76">
        <v>43496</v>
      </c>
      <c r="D58" s="135">
        <f t="shared" si="3"/>
        <v>48000</v>
      </c>
      <c r="G58" s="135">
        <f t="shared" si="4"/>
        <v>48000</v>
      </c>
      <c r="H58" s="163">
        <f t="shared" si="0"/>
        <v>0.065</v>
      </c>
      <c r="I58" s="139">
        <f t="shared" si="2"/>
        <v>268.66666666666663</v>
      </c>
      <c r="J58" s="75">
        <f t="shared" si="6"/>
        <v>31</v>
      </c>
    </row>
    <row r="59" spans="1:10" ht="12">
      <c r="A59" s="76">
        <f t="shared" si="1"/>
        <v>43496</v>
      </c>
      <c r="B59" s="76">
        <v>43524</v>
      </c>
      <c r="D59" s="135">
        <f t="shared" si="3"/>
        <v>48000</v>
      </c>
      <c r="G59" s="135">
        <f t="shared" si="4"/>
        <v>48000</v>
      </c>
      <c r="H59" s="163">
        <f t="shared" si="0"/>
        <v>0.065</v>
      </c>
      <c r="I59" s="139">
        <f t="shared" si="2"/>
        <v>242.66666666666666</v>
      </c>
      <c r="J59" s="75">
        <f t="shared" si="6"/>
        <v>28</v>
      </c>
    </row>
    <row r="60" spans="1:10" ht="12">
      <c r="A60" s="76">
        <f t="shared" si="1"/>
        <v>43524</v>
      </c>
      <c r="B60" s="76">
        <v>43555</v>
      </c>
      <c r="D60" s="135">
        <f t="shared" si="3"/>
        <v>48000</v>
      </c>
      <c r="F60" s="135">
        <v>-4000</v>
      </c>
      <c r="G60" s="135">
        <f t="shared" si="4"/>
        <v>44000</v>
      </c>
      <c r="H60" s="163">
        <f t="shared" si="0"/>
        <v>0.065</v>
      </c>
      <c r="I60" s="139">
        <f t="shared" si="2"/>
        <v>268.66666666666663</v>
      </c>
      <c r="J60" s="75">
        <f t="shared" si="6"/>
        <v>31</v>
      </c>
    </row>
    <row r="61" spans="1:10" ht="12">
      <c r="A61" s="76">
        <f t="shared" si="1"/>
        <v>43555</v>
      </c>
      <c r="B61" s="76">
        <v>43585</v>
      </c>
      <c r="D61" s="135">
        <f t="shared" si="3"/>
        <v>44000</v>
      </c>
      <c r="G61" s="135">
        <f t="shared" si="4"/>
        <v>44000</v>
      </c>
      <c r="H61" s="163">
        <f t="shared" si="0"/>
        <v>0.065</v>
      </c>
      <c r="I61" s="139">
        <f t="shared" si="2"/>
        <v>238.33333333333334</v>
      </c>
      <c r="J61" s="75">
        <f t="shared" si="6"/>
        <v>30</v>
      </c>
    </row>
    <row r="62" spans="1:10" ht="12">
      <c r="A62" s="76">
        <f t="shared" si="1"/>
        <v>43585</v>
      </c>
      <c r="B62" s="76">
        <v>43616</v>
      </c>
      <c r="D62" s="135">
        <f t="shared" si="3"/>
        <v>44000</v>
      </c>
      <c r="G62" s="135">
        <f t="shared" si="4"/>
        <v>44000</v>
      </c>
      <c r="H62" s="163">
        <f t="shared" si="0"/>
        <v>0.065</v>
      </c>
      <c r="I62" s="139">
        <f t="shared" si="2"/>
        <v>246.27777777777777</v>
      </c>
      <c r="J62" s="75">
        <f t="shared" si="6"/>
        <v>31</v>
      </c>
    </row>
    <row r="63" spans="1:10" ht="12">
      <c r="A63" s="76">
        <f t="shared" si="1"/>
        <v>43616</v>
      </c>
      <c r="B63" s="76">
        <v>43646</v>
      </c>
      <c r="D63" s="135">
        <f t="shared" si="3"/>
        <v>44000</v>
      </c>
      <c r="G63" s="135">
        <f t="shared" si="4"/>
        <v>44000</v>
      </c>
      <c r="H63" s="163">
        <f t="shared" si="0"/>
        <v>0.065</v>
      </c>
      <c r="I63" s="139">
        <f t="shared" si="2"/>
        <v>238.33333333333334</v>
      </c>
      <c r="J63" s="75">
        <f t="shared" si="6"/>
        <v>30</v>
      </c>
    </row>
    <row r="64" spans="1:10" ht="12">
      <c r="A64" s="76">
        <f t="shared" si="1"/>
        <v>43646</v>
      </c>
      <c r="B64" s="76">
        <v>43677</v>
      </c>
      <c r="D64" s="135">
        <f t="shared" si="3"/>
        <v>44000</v>
      </c>
      <c r="G64" s="135">
        <f t="shared" si="4"/>
        <v>44000</v>
      </c>
      <c r="H64" s="163">
        <f t="shared" si="0"/>
        <v>0.065</v>
      </c>
      <c r="I64" s="139">
        <f t="shared" si="2"/>
        <v>246.27777777777777</v>
      </c>
      <c r="J64" s="75">
        <f t="shared" si="6"/>
        <v>31</v>
      </c>
    </row>
    <row r="65" spans="1:10" ht="12">
      <c r="A65" s="76">
        <f t="shared" si="1"/>
        <v>43677</v>
      </c>
      <c r="B65" s="76">
        <v>43708</v>
      </c>
      <c r="D65" s="135">
        <f t="shared" si="3"/>
        <v>44000</v>
      </c>
      <c r="G65" s="135">
        <f t="shared" si="4"/>
        <v>44000</v>
      </c>
      <c r="H65" s="163">
        <f t="shared" si="0"/>
        <v>0.065</v>
      </c>
      <c r="I65" s="139">
        <f t="shared" si="2"/>
        <v>246.27777777777777</v>
      </c>
      <c r="J65" s="75">
        <f t="shared" si="6"/>
        <v>31</v>
      </c>
    </row>
    <row r="66" spans="1:10" ht="12.75">
      <c r="A66" s="76">
        <f t="shared" si="1"/>
        <v>43708</v>
      </c>
      <c r="B66" s="76">
        <v>43738</v>
      </c>
      <c r="D66" s="135">
        <f t="shared" si="3"/>
        <v>44000</v>
      </c>
      <c r="F66" s="135">
        <v>-4000</v>
      </c>
      <c r="G66" s="152">
        <f t="shared" si="4"/>
        <v>40000</v>
      </c>
      <c r="H66" s="163">
        <f t="shared" si="0"/>
        <v>0.065</v>
      </c>
      <c r="I66" s="152">
        <f t="shared" si="2"/>
        <v>238.33333333333334</v>
      </c>
      <c r="J66" s="75">
        <f t="shared" si="6"/>
        <v>30</v>
      </c>
    </row>
    <row r="67" spans="1:10" ht="12">
      <c r="A67" s="76"/>
      <c r="B67" s="76"/>
      <c r="H67" s="132"/>
      <c r="I67" s="142"/>
      <c r="J67" s="78"/>
    </row>
    <row r="68" spans="1:12" ht="12.75">
      <c r="A68" s="141" t="s">
        <v>89</v>
      </c>
      <c r="B68" s="143">
        <f>B69-1</f>
        <v>2015</v>
      </c>
      <c r="C68" s="81"/>
      <c r="D68" s="138"/>
      <c r="E68" s="138"/>
      <c r="F68" s="138"/>
      <c r="G68" s="138"/>
      <c r="H68" s="81"/>
      <c r="I68" s="139">
        <f>SUM(I10:I21)</f>
        <v>5007.166666666666</v>
      </c>
      <c r="J68" s="81"/>
      <c r="K68" s="81"/>
      <c r="L68" s="81"/>
    </row>
    <row r="69" spans="1:13" ht="12">
      <c r="A69" s="51"/>
      <c r="B69" s="143">
        <f>B70-1</f>
        <v>2016</v>
      </c>
      <c r="C69" s="102"/>
      <c r="D69" s="139"/>
      <c r="E69" s="139"/>
      <c r="F69" s="140"/>
      <c r="G69" s="140"/>
      <c r="H69" s="130"/>
      <c r="I69" s="139">
        <f>SUM(I22:I33)</f>
        <v>4492.944444444445</v>
      </c>
      <c r="J69" s="130"/>
      <c r="K69" s="130"/>
      <c r="L69" s="130"/>
      <c r="M69" s="129"/>
    </row>
    <row r="70" spans="2:9" ht="12">
      <c r="B70" s="143">
        <f>B71-1</f>
        <v>2017</v>
      </c>
      <c r="C70" s="131"/>
      <c r="I70" s="139">
        <f>SUM(I34:I45)</f>
        <v>3952.7222222222226</v>
      </c>
    </row>
    <row r="71" spans="2:9" ht="12">
      <c r="B71" s="143">
        <f>B72-1</f>
        <v>2018</v>
      </c>
      <c r="I71" s="139">
        <f>SUM(I46:I57)</f>
        <v>3425.4999999999995</v>
      </c>
    </row>
    <row r="72" spans="2:9" ht="12">
      <c r="B72" s="143">
        <v>2019</v>
      </c>
      <c r="I72" s="139">
        <f>SUM(I58:I66)</f>
        <v>2233.8333333333335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pane xSplit="4" ySplit="2" topLeftCell="E3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I11" sqref="I11"/>
    </sheetView>
  </sheetViews>
  <sheetFormatPr defaultColWidth="7.00390625" defaultRowHeight="12.75" outlineLevelCol="1"/>
  <cols>
    <col min="1" max="1" width="8.140625" style="51" bestFit="1" customWidth="1"/>
    <col min="2" max="2" width="7.57421875" style="51" bestFit="1" customWidth="1"/>
    <col min="3" max="3" width="17.421875" style="84" bestFit="1" customWidth="1"/>
    <col min="4" max="5" width="7.00390625" style="51" customWidth="1"/>
    <col min="6" max="6" width="7.00390625" style="51" customWidth="1" outlineLevel="1"/>
    <col min="7" max="7" width="14.8515625" style="51" customWidth="1" outlineLevel="1"/>
    <col min="8" max="10" width="15.421875" style="51" customWidth="1" outlineLevel="1"/>
    <col min="11" max="13" width="16.140625" style="51" customWidth="1" outlineLevel="1"/>
    <col min="14" max="16" width="15.140625" style="84" customWidth="1" outlineLevel="1"/>
    <col min="17" max="32" width="11.421875" style="84" bestFit="1" customWidth="1"/>
    <col min="33" max="34" width="12.8515625" style="84" bestFit="1" customWidth="1"/>
    <col min="35" max="35" width="14.00390625" style="84" bestFit="1" customWidth="1"/>
    <col min="36" max="36" width="15.00390625" style="84" bestFit="1" customWidth="1"/>
    <col min="37" max="44" width="11.140625" style="84" bestFit="1" customWidth="1"/>
    <col min="45" max="45" width="12.00390625" style="85" bestFit="1" customWidth="1"/>
    <col min="46" max="46" width="12.8515625" style="1" bestFit="1" customWidth="1"/>
    <col min="47" max="16384" width="7.00390625" style="51" customWidth="1"/>
  </cols>
  <sheetData>
    <row r="1" ht="12.75">
      <c r="A1" s="1" t="s">
        <v>121</v>
      </c>
    </row>
    <row r="2" ht="12.75">
      <c r="A2" s="1" t="s">
        <v>102</v>
      </c>
    </row>
    <row r="4" spans="3:35" ht="12.75">
      <c r="C4" s="102"/>
      <c r="G4" s="104">
        <v>39619</v>
      </c>
      <c r="H4" s="104">
        <v>39813</v>
      </c>
      <c r="I4" s="104">
        <v>39833</v>
      </c>
      <c r="J4" s="104">
        <v>40014</v>
      </c>
      <c r="K4" s="104">
        <v>40178</v>
      </c>
      <c r="L4" s="104">
        <v>40198</v>
      </c>
      <c r="M4" s="104">
        <v>40379</v>
      </c>
      <c r="N4" s="104">
        <v>40543</v>
      </c>
      <c r="O4" s="104">
        <v>40563</v>
      </c>
      <c r="P4" s="104">
        <v>40744</v>
      </c>
      <c r="Q4" s="104">
        <v>40908</v>
      </c>
      <c r="R4" s="104">
        <v>40928</v>
      </c>
      <c r="S4" s="104">
        <v>41110</v>
      </c>
      <c r="T4" s="104">
        <v>41274</v>
      </c>
      <c r="U4" s="104">
        <v>42389</v>
      </c>
      <c r="V4" s="104">
        <v>42571</v>
      </c>
      <c r="W4" s="104">
        <v>42735</v>
      </c>
      <c r="X4" s="104">
        <v>42755</v>
      </c>
      <c r="Y4" s="104">
        <v>42936</v>
      </c>
      <c r="Z4" s="104">
        <v>43100</v>
      </c>
      <c r="AA4" s="104">
        <v>43120</v>
      </c>
      <c r="AB4" s="104">
        <v>43301</v>
      </c>
      <c r="AC4" s="104">
        <v>43465</v>
      </c>
      <c r="AD4" s="104">
        <v>43485</v>
      </c>
      <c r="AE4" s="104">
        <v>43666</v>
      </c>
      <c r="AF4" s="104">
        <v>43738</v>
      </c>
      <c r="AG4" s="104">
        <v>43850</v>
      </c>
      <c r="AH4" s="104">
        <v>44032</v>
      </c>
      <c r="AI4" s="104">
        <v>44104</v>
      </c>
    </row>
    <row r="6" ht="12.75">
      <c r="C6" s="102"/>
    </row>
    <row r="7" spans="1:35" ht="12.75">
      <c r="A7" s="105"/>
      <c r="B7" s="106"/>
      <c r="C7" s="107" t="s">
        <v>72</v>
      </c>
      <c r="D7" s="106"/>
      <c r="E7" s="106"/>
      <c r="F7" s="106"/>
      <c r="G7" s="103">
        <f>500000000/1000</f>
        <v>500000</v>
      </c>
      <c r="H7" s="161">
        <f>G10</f>
        <v>500000</v>
      </c>
      <c r="I7" s="161">
        <f>H10</f>
        <v>500000</v>
      </c>
      <c r="J7" s="161">
        <f>I10</f>
        <v>491666.667</v>
      </c>
      <c r="K7" s="161">
        <f>H10</f>
        <v>500000</v>
      </c>
      <c r="L7" s="161">
        <f>K10</f>
        <v>483333.334</v>
      </c>
      <c r="M7" s="161">
        <f>L10</f>
        <v>475000.001</v>
      </c>
      <c r="N7" s="103">
        <f>K10</f>
        <v>483333.334</v>
      </c>
      <c r="O7" s="161">
        <f>N10</f>
        <v>466666.66799999995</v>
      </c>
      <c r="P7" s="161">
        <f>O10</f>
        <v>458333.33499999996</v>
      </c>
      <c r="Q7" s="103">
        <f>N10</f>
        <v>466666.66799999995</v>
      </c>
      <c r="R7" s="161">
        <f>Q10</f>
        <v>450000.0019999999</v>
      </c>
      <c r="S7" s="161">
        <f>R10</f>
        <v>441666.66899999994</v>
      </c>
      <c r="T7" s="103">
        <f>Q10</f>
        <v>450000.0019999999</v>
      </c>
      <c r="U7" s="161">
        <f>T10</f>
        <v>433333.3359999999</v>
      </c>
      <c r="V7" s="161">
        <f>U10</f>
        <v>425000.0029999999</v>
      </c>
      <c r="W7" s="103">
        <f>T10</f>
        <v>433333.3359999999</v>
      </c>
      <c r="X7" s="161">
        <f>W10</f>
        <v>416666.66999999987</v>
      </c>
      <c r="Y7" s="161">
        <f>X10</f>
        <v>408333.3369999999</v>
      </c>
      <c r="Z7" s="103">
        <f>W10</f>
        <v>416666.66999999987</v>
      </c>
      <c r="AA7" s="161">
        <f>Z10</f>
        <v>400000.00399999984</v>
      </c>
      <c r="AB7" s="161">
        <f>AA10</f>
        <v>391666.67099999986</v>
      </c>
      <c r="AC7" s="103">
        <f>Z10</f>
        <v>400000.00399999984</v>
      </c>
      <c r="AD7" s="161">
        <f>AC10</f>
        <v>383333.3379999998</v>
      </c>
      <c r="AE7" s="161">
        <f>AD10</f>
        <v>375000.00499999983</v>
      </c>
      <c r="AF7" s="103">
        <f>AC10</f>
        <v>383333.3379999998</v>
      </c>
      <c r="AG7" s="161">
        <f>AF10</f>
        <v>366666.6719999998</v>
      </c>
      <c r="AH7" s="161">
        <f>AG10</f>
        <v>358333.3389999998</v>
      </c>
      <c r="AI7" s="103">
        <f>AF10</f>
        <v>366666.6719999998</v>
      </c>
    </row>
    <row r="8" spans="1:35" ht="12.75">
      <c r="A8" s="108"/>
      <c r="B8" s="109"/>
      <c r="C8" s="110" t="s">
        <v>126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1"/>
      <c r="O8" s="109"/>
      <c r="P8" s="109"/>
      <c r="Q8" s="111"/>
      <c r="R8" s="109"/>
      <c r="S8" s="109"/>
      <c r="T8" s="111"/>
      <c r="U8" s="109"/>
      <c r="V8" s="109"/>
      <c r="W8" s="111"/>
      <c r="X8" s="109"/>
      <c r="Y8" s="109"/>
      <c r="Z8" s="111"/>
      <c r="AA8" s="109"/>
      <c r="AB8" s="109"/>
      <c r="AC8" s="111"/>
      <c r="AD8" s="109"/>
      <c r="AE8" s="109"/>
      <c r="AF8" s="111"/>
      <c r="AG8" s="109"/>
      <c r="AH8" s="109"/>
      <c r="AI8" s="111"/>
    </row>
    <row r="9" spans="1:35" ht="12.75">
      <c r="A9" s="108"/>
      <c r="B9" s="109"/>
      <c r="C9" s="110" t="s">
        <v>81</v>
      </c>
      <c r="D9" s="109"/>
      <c r="E9" s="109"/>
      <c r="F9" s="109"/>
      <c r="G9" s="109"/>
      <c r="H9" s="109"/>
      <c r="I9" s="160">
        <f>8333333/1000</f>
        <v>8333.333</v>
      </c>
      <c r="J9" s="160">
        <f>8333333/1000</f>
        <v>8333.333</v>
      </c>
      <c r="K9" s="115">
        <f>I9+J9</f>
        <v>16666.666</v>
      </c>
      <c r="L9" s="160">
        <f>8333333/1000</f>
        <v>8333.333</v>
      </c>
      <c r="M9" s="160">
        <f>8333333/1000</f>
        <v>8333.333</v>
      </c>
      <c r="N9" s="115">
        <f>L9+M9</f>
        <v>16666.666</v>
      </c>
      <c r="O9" s="160">
        <f>8333333/1000</f>
        <v>8333.333</v>
      </c>
      <c r="P9" s="160">
        <f>8333333/1000</f>
        <v>8333.333</v>
      </c>
      <c r="Q9" s="115">
        <f>O9+P9</f>
        <v>16666.666</v>
      </c>
      <c r="R9" s="160">
        <f>8333333/1000</f>
        <v>8333.333</v>
      </c>
      <c r="S9" s="160">
        <f>8333333/1000</f>
        <v>8333.333</v>
      </c>
      <c r="T9" s="115">
        <f>R9+S9</f>
        <v>16666.666</v>
      </c>
      <c r="U9" s="160">
        <f>8333333/1000</f>
        <v>8333.333</v>
      </c>
      <c r="V9" s="160">
        <f>8333333/1000</f>
        <v>8333.333</v>
      </c>
      <c r="W9" s="115">
        <f>U9+V9</f>
        <v>16666.666</v>
      </c>
      <c r="X9" s="160">
        <f>8333333/1000</f>
        <v>8333.333</v>
      </c>
      <c r="Y9" s="160">
        <f>8333333/1000</f>
        <v>8333.333</v>
      </c>
      <c r="Z9" s="115">
        <f>X9+Y9</f>
        <v>16666.666</v>
      </c>
      <c r="AA9" s="160">
        <f>8333333/1000</f>
        <v>8333.333</v>
      </c>
      <c r="AB9" s="160">
        <f>8333333/1000</f>
        <v>8333.333</v>
      </c>
      <c r="AC9" s="115">
        <f>AA9+AB9</f>
        <v>16666.666</v>
      </c>
      <c r="AD9" s="160">
        <f>8333333/1000</f>
        <v>8333.333</v>
      </c>
      <c r="AE9" s="160">
        <f>8333333/1000</f>
        <v>8333.333</v>
      </c>
      <c r="AF9" s="115">
        <f>AD9+AE9</f>
        <v>16666.666</v>
      </c>
      <c r="AG9" s="160">
        <f>8333333/1000</f>
        <v>8333.333</v>
      </c>
      <c r="AH9" s="160">
        <f>8333333/1000</f>
        <v>8333.333</v>
      </c>
      <c r="AI9" s="115">
        <f>AG9+AH9</f>
        <v>16666.666</v>
      </c>
    </row>
    <row r="10" spans="1:35" ht="12.75">
      <c r="A10" s="112"/>
      <c r="B10" s="113"/>
      <c r="C10" s="114" t="s">
        <v>82</v>
      </c>
      <c r="D10" s="113"/>
      <c r="E10" s="113"/>
      <c r="F10" s="113"/>
      <c r="G10" s="160">
        <f aca="true" t="shared" si="0" ref="G10:AF10">G7+G8-G9</f>
        <v>500000</v>
      </c>
      <c r="H10" s="160">
        <f t="shared" si="0"/>
        <v>500000</v>
      </c>
      <c r="I10" s="160">
        <f t="shared" si="0"/>
        <v>491666.667</v>
      </c>
      <c r="J10" s="160">
        <f t="shared" si="0"/>
        <v>483333.33400000003</v>
      </c>
      <c r="K10" s="160">
        <f t="shared" si="0"/>
        <v>483333.334</v>
      </c>
      <c r="L10" s="160">
        <f t="shared" si="0"/>
        <v>475000.001</v>
      </c>
      <c r="M10" s="160">
        <f t="shared" si="0"/>
        <v>466666.668</v>
      </c>
      <c r="N10" s="160">
        <f t="shared" si="0"/>
        <v>466666.66799999995</v>
      </c>
      <c r="O10" s="160">
        <f t="shared" si="0"/>
        <v>458333.33499999996</v>
      </c>
      <c r="P10" s="160">
        <f t="shared" si="0"/>
        <v>450000.002</v>
      </c>
      <c r="Q10" s="160">
        <f t="shared" si="0"/>
        <v>450000.0019999999</v>
      </c>
      <c r="R10" s="160">
        <f t="shared" si="0"/>
        <v>441666.66899999994</v>
      </c>
      <c r="S10" s="160">
        <f t="shared" si="0"/>
        <v>433333.33599999995</v>
      </c>
      <c r="T10" s="160">
        <f t="shared" si="0"/>
        <v>433333.3359999999</v>
      </c>
      <c r="U10" s="160">
        <f t="shared" si="0"/>
        <v>425000.0029999999</v>
      </c>
      <c r="V10" s="160">
        <f t="shared" si="0"/>
        <v>416666.6699999999</v>
      </c>
      <c r="W10" s="160">
        <f t="shared" si="0"/>
        <v>416666.66999999987</v>
      </c>
      <c r="X10" s="160">
        <f t="shared" si="0"/>
        <v>408333.3369999999</v>
      </c>
      <c r="Y10" s="160">
        <f t="shared" si="0"/>
        <v>400000.0039999999</v>
      </c>
      <c r="Z10" s="160">
        <f t="shared" si="0"/>
        <v>400000.00399999984</v>
      </c>
      <c r="AA10" s="160">
        <f t="shared" si="0"/>
        <v>391666.67099999986</v>
      </c>
      <c r="AB10" s="160">
        <f t="shared" si="0"/>
        <v>383333.3379999999</v>
      </c>
      <c r="AC10" s="160">
        <f t="shared" si="0"/>
        <v>383333.3379999998</v>
      </c>
      <c r="AD10" s="160">
        <f t="shared" si="0"/>
        <v>375000.00499999983</v>
      </c>
      <c r="AE10" s="160">
        <f t="shared" si="0"/>
        <v>366666.67199999985</v>
      </c>
      <c r="AF10" s="160">
        <f t="shared" si="0"/>
        <v>366666.6719999998</v>
      </c>
      <c r="AG10" s="160">
        <f>AG7+AG8-AG9</f>
        <v>358333.3389999998</v>
      </c>
      <c r="AH10" s="160">
        <f>AH7+AH8-AH9</f>
        <v>350000.0059999998</v>
      </c>
      <c r="AI10" s="160">
        <f>AI7+AI8-AI9</f>
        <v>350000.00599999976</v>
      </c>
    </row>
    <row r="11" spans="3:35" ht="12.75">
      <c r="C11" s="51" t="s">
        <v>100</v>
      </c>
      <c r="D11" s="51">
        <v>0.07</v>
      </c>
      <c r="H11" s="103">
        <f>($D11/365)*(H4-G4)*G7</f>
        <v>18602.739726027397</v>
      </c>
      <c r="I11" s="103">
        <f>($D11/365)*(I4-H4)*H7</f>
        <v>1917.8082191780825</v>
      </c>
      <c r="J11" s="103">
        <f aca="true" t="shared" si="1" ref="I11:AF11">($D11/365)*(J4-I4)*I7</f>
        <v>17356.164383561645</v>
      </c>
      <c r="K11" s="103">
        <f t="shared" si="1"/>
        <v>15463.92695112329</v>
      </c>
      <c r="L11" s="103">
        <f t="shared" si="1"/>
        <v>1917.8082191780825</v>
      </c>
      <c r="M11" s="103">
        <f t="shared" si="1"/>
        <v>16777.625593917808</v>
      </c>
      <c r="N11" s="103">
        <f t="shared" si="1"/>
        <v>14939.726058849317</v>
      </c>
      <c r="O11" s="103">
        <f t="shared" si="1"/>
        <v>1853.8812810958905</v>
      </c>
      <c r="P11" s="103">
        <f t="shared" si="1"/>
        <v>16199.086804273971</v>
      </c>
      <c r="Q11" s="103">
        <f t="shared" si="1"/>
        <v>14415.525166575344</v>
      </c>
      <c r="R11" s="103">
        <f t="shared" si="1"/>
        <v>1789.9543430136987</v>
      </c>
      <c r="S11" s="103">
        <f t="shared" si="1"/>
        <v>15706.84938487671</v>
      </c>
      <c r="T11" s="103">
        <f t="shared" si="1"/>
        <v>13891.32427430137</v>
      </c>
      <c r="U11" s="103">
        <f>($D11/365)*(U4-T4)*T7</f>
        <v>96226.0278249315</v>
      </c>
      <c r="V11" s="103">
        <f>($D11/365)*(V4-U4)*U7</f>
        <v>15125.114248328764</v>
      </c>
      <c r="W11" s="103">
        <f>($D11/365)*(W4-V4)*V7</f>
        <v>13367.123382027397</v>
      </c>
      <c r="X11" s="103">
        <f t="shared" si="1"/>
        <v>1662.100466849315</v>
      </c>
      <c r="Y11" s="103">
        <f t="shared" si="1"/>
        <v>14463.470435342462</v>
      </c>
      <c r="Z11" s="103">
        <f t="shared" si="1"/>
        <v>12842.922489753424</v>
      </c>
      <c r="AA11" s="103">
        <f t="shared" si="1"/>
        <v>1598.173528767123</v>
      </c>
      <c r="AB11" s="103">
        <f t="shared" si="1"/>
        <v>13884.931645698625</v>
      </c>
      <c r="AC11" s="103">
        <f t="shared" si="1"/>
        <v>12318.721597479449</v>
      </c>
      <c r="AD11" s="103">
        <f t="shared" si="1"/>
        <v>1534.246590684931</v>
      </c>
      <c r="AE11" s="103">
        <f t="shared" si="1"/>
        <v>13306.392856054788</v>
      </c>
      <c r="AF11" s="103">
        <f t="shared" si="1"/>
        <v>5178.082260821916</v>
      </c>
      <c r="AG11" s="103">
        <f>($D11/365)*(AG4-AF4)*AF7</f>
        <v>8233.79005457534</v>
      </c>
      <c r="AH11" s="103">
        <f>($D11/365)*(AH4-AG4)*AG7</f>
        <v>12798.173702136979</v>
      </c>
      <c r="AI11" s="103">
        <f>($D11/365)*(AI4-AH4)*AH7</f>
        <v>4947.945283726025</v>
      </c>
    </row>
    <row r="12" spans="3:35" ht="12.75">
      <c r="C12" s="102" t="s">
        <v>107</v>
      </c>
      <c r="T12" s="84">
        <f>SUM(R11:T11)</f>
        <v>31388.128002191777</v>
      </c>
      <c r="W12" s="84">
        <f>SUM(U11:W11)</f>
        <v>124718.26545528766</v>
      </c>
      <c r="Z12" s="84">
        <f>SUM(X11:Z11)</f>
        <v>28968.4933919452</v>
      </c>
      <c r="AC12" s="84">
        <f>SUM(AA11:AC11)</f>
        <v>27801.826771945198</v>
      </c>
      <c r="AF12" s="84">
        <f>SUM(AD11:AF11)</f>
        <v>20018.721707561635</v>
      </c>
      <c r="AI12" s="84">
        <f>SUM(AG11:AI11)</f>
        <v>25979.909040438346</v>
      </c>
    </row>
    <row r="13" ht="12.75">
      <c r="C13" s="102"/>
    </row>
    <row r="14" ht="12.75">
      <c r="C14" s="102"/>
    </row>
    <row r="15" ht="12.75">
      <c r="C15" s="102"/>
    </row>
    <row r="16" ht="12.75">
      <c r="C16" s="102"/>
    </row>
    <row r="17" ht="12.75">
      <c r="C17" s="102"/>
    </row>
    <row r="18" ht="12.75">
      <c r="C18" s="102"/>
    </row>
    <row r="19" ht="12.75">
      <c r="C19" s="102"/>
    </row>
    <row r="20" ht="12.75">
      <c r="C20" s="102"/>
    </row>
    <row r="21" ht="12.75">
      <c r="C21" s="102"/>
    </row>
    <row r="22" ht="12.75">
      <c r="C22" s="102"/>
    </row>
    <row r="23" ht="12.75">
      <c r="C23" s="102"/>
    </row>
    <row r="24" ht="12.75">
      <c r="C24" s="102"/>
    </row>
    <row r="25" ht="12.75">
      <c r="C25" s="102"/>
    </row>
    <row r="26" ht="12.75">
      <c r="C26" s="102"/>
    </row>
    <row r="27" ht="12.75">
      <c r="C27" s="102"/>
    </row>
    <row r="28" ht="12.75">
      <c r="C28" s="102"/>
    </row>
    <row r="29" ht="12.75">
      <c r="C29" s="102"/>
    </row>
    <row r="30" ht="12.75">
      <c r="C30" s="102"/>
    </row>
    <row r="31" ht="12.75">
      <c r="C31" s="102"/>
    </row>
    <row r="32" ht="12.75">
      <c r="C32" s="102"/>
    </row>
    <row r="33" ht="12.75">
      <c r="C33" s="102"/>
    </row>
    <row r="34" ht="12.75">
      <c r="C34" s="102"/>
    </row>
    <row r="35" ht="12.75">
      <c r="C35" s="102"/>
    </row>
    <row r="36" ht="12.75">
      <c r="C36" s="102"/>
    </row>
    <row r="37" ht="12.75">
      <c r="C37" s="102"/>
    </row>
    <row r="38" ht="12.75">
      <c r="C38" s="102"/>
    </row>
    <row r="39" ht="12.75">
      <c r="C39" s="102"/>
    </row>
    <row r="40" ht="12.75">
      <c r="C40" s="102"/>
    </row>
    <row r="41" ht="12.75">
      <c r="C41" s="102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pane xSplit="3" ySplit="4" topLeftCell="D82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96" sqref="B96"/>
    </sheetView>
  </sheetViews>
  <sheetFormatPr defaultColWidth="8.57421875" defaultRowHeight="12.75"/>
  <cols>
    <col min="1" max="2" width="11.57421875" style="71" bestFit="1" customWidth="1"/>
    <col min="3" max="3" width="2.8515625" style="71" customWidth="1"/>
    <col min="4" max="4" width="13.140625" style="135" bestFit="1" customWidth="1"/>
    <col min="5" max="5" width="10.8515625" style="135" bestFit="1" customWidth="1"/>
    <col min="6" max="6" width="11.57421875" style="135" bestFit="1" customWidth="1"/>
    <col min="7" max="7" width="12.8515625" style="135" bestFit="1" customWidth="1"/>
    <col min="8" max="8" width="14.00390625" style="75" bestFit="1" customWidth="1"/>
    <col min="9" max="9" width="10.421875" style="139" bestFit="1" customWidth="1"/>
    <col min="10" max="10" width="6.57421875" style="71" bestFit="1" customWidth="1"/>
    <col min="11" max="11" width="10.140625" style="71" bestFit="1" customWidth="1"/>
    <col min="12" max="12" width="13.57421875" style="71" bestFit="1" customWidth="1"/>
    <col min="13" max="13" width="10.140625" style="71" bestFit="1" customWidth="1"/>
    <col min="14" max="14" width="11.00390625" style="71" bestFit="1" customWidth="1"/>
    <col min="15" max="15" width="9.421875" style="71" bestFit="1" customWidth="1"/>
    <col min="16" max="16384" width="8.57421875" style="71" customWidth="1"/>
  </cols>
  <sheetData>
    <row r="1" spans="1:10" ht="19.5">
      <c r="A1" s="217" t="s">
        <v>78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ht="18" thickBot="1">
      <c r="A2" s="220" t="s">
        <v>127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12" customHeight="1" thickTop="1">
      <c r="A3" s="118"/>
      <c r="B3" s="118"/>
      <c r="C3" s="118"/>
      <c r="D3" s="164" t="s">
        <v>103</v>
      </c>
      <c r="E3" s="118"/>
      <c r="F3" s="118"/>
      <c r="G3" s="118"/>
      <c r="H3" s="118"/>
      <c r="I3" s="118"/>
      <c r="J3" s="118"/>
    </row>
    <row r="4" spans="1:10" s="73" customFormat="1" ht="12">
      <c r="A4" s="72" t="s">
        <v>70</v>
      </c>
      <c r="B4" s="72" t="s">
        <v>71</v>
      </c>
      <c r="D4" s="134" t="s">
        <v>72</v>
      </c>
      <c r="E4" s="134" t="s">
        <v>73</v>
      </c>
      <c r="F4" s="134" t="s">
        <v>74</v>
      </c>
      <c r="G4" s="134" t="s">
        <v>75</v>
      </c>
      <c r="H4" s="74" t="s">
        <v>76</v>
      </c>
      <c r="I4" s="134" t="s">
        <v>79</v>
      </c>
      <c r="J4" s="72" t="s">
        <v>77</v>
      </c>
    </row>
    <row r="5" spans="4:8" ht="12">
      <c r="D5" s="135">
        <v>0</v>
      </c>
      <c r="H5" s="162">
        <v>0.15</v>
      </c>
    </row>
    <row r="6" spans="1:10" ht="12">
      <c r="A6" s="76"/>
      <c r="B6" s="76">
        <v>35521</v>
      </c>
      <c r="C6" s="76"/>
      <c r="D6" s="135">
        <v>0</v>
      </c>
      <c r="E6" s="135">
        <v>300000</v>
      </c>
      <c r="G6" s="135">
        <f>SUM(D6:F6)</f>
        <v>300000</v>
      </c>
      <c r="H6" s="163">
        <f>H5</f>
        <v>0.15</v>
      </c>
      <c r="J6" s="75"/>
    </row>
    <row r="7" spans="1:10" ht="12">
      <c r="A7" s="76">
        <f>B6</f>
        <v>35521</v>
      </c>
      <c r="B7" s="76">
        <f>B6+90</f>
        <v>35611</v>
      </c>
      <c r="C7" s="77"/>
      <c r="D7" s="135">
        <f>G6</f>
        <v>300000</v>
      </c>
      <c r="G7" s="135">
        <f>SUM(D7:F7)</f>
        <v>300000</v>
      </c>
      <c r="H7" s="163">
        <f aca="true" t="shared" si="0" ref="H7:H66">H6</f>
        <v>0.15</v>
      </c>
      <c r="I7" s="139">
        <f>D7*H7/360*J7</f>
        <v>11250</v>
      </c>
      <c r="J7" s="75">
        <f>B7-A7</f>
        <v>90</v>
      </c>
    </row>
    <row r="8" spans="1:10" ht="12">
      <c r="A8" s="76">
        <f aca="true" t="shared" si="1" ref="A8:A71">B7</f>
        <v>35611</v>
      </c>
      <c r="B8" s="76">
        <f>B7+92</f>
        <v>35703</v>
      </c>
      <c r="C8" s="77"/>
      <c r="D8" s="135">
        <f>G7</f>
        <v>300000</v>
      </c>
      <c r="F8" s="135">
        <v>-4000</v>
      </c>
      <c r="G8" s="135">
        <f>SUM(D8:F8)</f>
        <v>296000</v>
      </c>
      <c r="H8" s="163">
        <f t="shared" si="0"/>
        <v>0.15</v>
      </c>
      <c r="I8" s="139">
        <f aca="true" t="shared" si="2" ref="I8:I71">D8*H8/360*J8</f>
        <v>11500</v>
      </c>
      <c r="J8" s="75">
        <f>B8-A8</f>
        <v>92</v>
      </c>
    </row>
    <row r="9" spans="1:10" ht="12">
      <c r="A9" s="76">
        <f t="shared" si="1"/>
        <v>35703</v>
      </c>
      <c r="B9" s="76">
        <f>B8+92</f>
        <v>35795</v>
      </c>
      <c r="C9" s="77"/>
      <c r="D9" s="135">
        <f>G8</f>
        <v>296000</v>
      </c>
      <c r="G9" s="135">
        <f>SUM(D9:F9)</f>
        <v>296000</v>
      </c>
      <c r="H9" s="163">
        <f t="shared" si="0"/>
        <v>0.15</v>
      </c>
      <c r="I9" s="139">
        <f t="shared" si="2"/>
        <v>11346.666666666666</v>
      </c>
      <c r="J9" s="75">
        <f>B9-A9</f>
        <v>92</v>
      </c>
    </row>
    <row r="10" spans="1:10" ht="12">
      <c r="A10" s="76">
        <f t="shared" si="1"/>
        <v>35795</v>
      </c>
      <c r="B10" s="76">
        <f>B9+90</f>
        <v>35885</v>
      </c>
      <c r="C10" s="77"/>
      <c r="D10" s="135">
        <f aca="true" t="shared" si="3" ref="D10:D66">G9</f>
        <v>296000</v>
      </c>
      <c r="F10" s="135">
        <v>-4000</v>
      </c>
      <c r="G10" s="135">
        <f aca="true" t="shared" si="4" ref="G10:G66">SUM(D10:F10)</f>
        <v>292000</v>
      </c>
      <c r="H10" s="163">
        <f t="shared" si="0"/>
        <v>0.15</v>
      </c>
      <c r="I10" s="139">
        <f t="shared" si="2"/>
        <v>11100</v>
      </c>
      <c r="J10" s="75">
        <f>B10-A10</f>
        <v>90</v>
      </c>
    </row>
    <row r="11" spans="1:14" ht="12">
      <c r="A11" s="76">
        <f t="shared" si="1"/>
        <v>35885</v>
      </c>
      <c r="B11" s="76">
        <f>B10+92</f>
        <v>35977</v>
      </c>
      <c r="C11" s="77"/>
      <c r="D11" s="135">
        <f t="shared" si="3"/>
        <v>292000</v>
      </c>
      <c r="G11" s="135">
        <f t="shared" si="4"/>
        <v>292000</v>
      </c>
      <c r="H11" s="163">
        <f t="shared" si="0"/>
        <v>0.15</v>
      </c>
      <c r="I11" s="139">
        <f t="shared" si="2"/>
        <v>11193.333333333334</v>
      </c>
      <c r="J11" s="75">
        <f aca="true" t="shared" si="5" ref="J11:J66">B11-A11</f>
        <v>92</v>
      </c>
      <c r="N11" s="79"/>
    </row>
    <row r="12" spans="1:10" ht="12">
      <c r="A12" s="76">
        <f t="shared" si="1"/>
        <v>35977</v>
      </c>
      <c r="B12" s="76">
        <f>B11+92</f>
        <v>36069</v>
      </c>
      <c r="C12" s="77"/>
      <c r="D12" s="135">
        <f t="shared" si="3"/>
        <v>292000</v>
      </c>
      <c r="F12" s="135">
        <v>-4000</v>
      </c>
      <c r="G12" s="135">
        <f t="shared" si="4"/>
        <v>288000</v>
      </c>
      <c r="H12" s="163">
        <f t="shared" si="0"/>
        <v>0.15</v>
      </c>
      <c r="I12" s="139">
        <f t="shared" si="2"/>
        <v>11193.333333333334</v>
      </c>
      <c r="J12" s="75">
        <f t="shared" si="5"/>
        <v>92</v>
      </c>
    </row>
    <row r="13" spans="1:10" ht="12">
      <c r="A13" s="76">
        <f t="shared" si="1"/>
        <v>36069</v>
      </c>
      <c r="B13" s="76">
        <f>B12+91</f>
        <v>36160</v>
      </c>
      <c r="D13" s="135">
        <f t="shared" si="3"/>
        <v>288000</v>
      </c>
      <c r="G13" s="135">
        <f t="shared" si="4"/>
        <v>288000</v>
      </c>
      <c r="H13" s="163">
        <f t="shared" si="0"/>
        <v>0.15</v>
      </c>
      <c r="I13" s="139">
        <f t="shared" si="2"/>
        <v>10920</v>
      </c>
      <c r="J13" s="75">
        <f t="shared" si="5"/>
        <v>91</v>
      </c>
    </row>
    <row r="14" spans="1:10" ht="12">
      <c r="A14" s="76">
        <f t="shared" si="1"/>
        <v>36160</v>
      </c>
      <c r="B14" s="76">
        <f>B13+90</f>
        <v>36250</v>
      </c>
      <c r="C14" s="133"/>
      <c r="D14" s="135">
        <f t="shared" si="3"/>
        <v>288000</v>
      </c>
      <c r="E14" s="136"/>
      <c r="F14" s="135">
        <v>-4000</v>
      </c>
      <c r="G14" s="135">
        <f t="shared" si="4"/>
        <v>284000</v>
      </c>
      <c r="H14" s="163">
        <f t="shared" si="0"/>
        <v>0.15</v>
      </c>
      <c r="I14" s="139">
        <f t="shared" si="2"/>
        <v>10800</v>
      </c>
      <c r="J14" s="75">
        <f t="shared" si="5"/>
        <v>90</v>
      </c>
    </row>
    <row r="15" spans="1:10" ht="12">
      <c r="A15" s="76">
        <f t="shared" si="1"/>
        <v>36250</v>
      </c>
      <c r="B15" s="76">
        <f>B14+92</f>
        <v>36342</v>
      </c>
      <c r="D15" s="135">
        <f t="shared" si="3"/>
        <v>284000</v>
      </c>
      <c r="G15" s="135">
        <f t="shared" si="4"/>
        <v>284000</v>
      </c>
      <c r="H15" s="163">
        <f t="shared" si="0"/>
        <v>0.15</v>
      </c>
      <c r="I15" s="139">
        <f t="shared" si="2"/>
        <v>10886.666666666666</v>
      </c>
      <c r="J15" s="75">
        <f t="shared" si="5"/>
        <v>92</v>
      </c>
    </row>
    <row r="16" spans="1:10" ht="12">
      <c r="A16" s="76">
        <f t="shared" si="1"/>
        <v>36342</v>
      </c>
      <c r="B16" s="76">
        <f>B15+92</f>
        <v>36434</v>
      </c>
      <c r="D16" s="135">
        <f t="shared" si="3"/>
        <v>284000</v>
      </c>
      <c r="F16" s="135">
        <v>-4000</v>
      </c>
      <c r="G16" s="135">
        <f t="shared" si="4"/>
        <v>280000</v>
      </c>
      <c r="H16" s="163">
        <f t="shared" si="0"/>
        <v>0.15</v>
      </c>
      <c r="I16" s="139">
        <f t="shared" si="2"/>
        <v>10886.666666666666</v>
      </c>
      <c r="J16" s="75">
        <f t="shared" si="5"/>
        <v>92</v>
      </c>
    </row>
    <row r="17" spans="1:11" ht="12">
      <c r="A17" s="76">
        <f t="shared" si="1"/>
        <v>36434</v>
      </c>
      <c r="B17" s="76">
        <f>B16+91</f>
        <v>36525</v>
      </c>
      <c r="D17" s="135">
        <f t="shared" si="3"/>
        <v>280000</v>
      </c>
      <c r="G17" s="135">
        <f t="shared" si="4"/>
        <v>280000</v>
      </c>
      <c r="H17" s="163">
        <f t="shared" si="0"/>
        <v>0.15</v>
      </c>
      <c r="I17" s="139">
        <f t="shared" si="2"/>
        <v>10616.666666666668</v>
      </c>
      <c r="J17" s="75">
        <f t="shared" si="5"/>
        <v>91</v>
      </c>
      <c r="K17" s="79"/>
    </row>
    <row r="18" spans="1:10" s="80" customFormat="1" ht="12">
      <c r="A18" s="76">
        <f t="shared" si="1"/>
        <v>36525</v>
      </c>
      <c r="B18" s="76">
        <f>B17+90</f>
        <v>36615</v>
      </c>
      <c r="D18" s="135">
        <f t="shared" si="3"/>
        <v>280000</v>
      </c>
      <c r="E18" s="137"/>
      <c r="F18" s="135">
        <v>-4000</v>
      </c>
      <c r="G18" s="135">
        <f t="shared" si="4"/>
        <v>276000</v>
      </c>
      <c r="H18" s="163">
        <f t="shared" si="0"/>
        <v>0.15</v>
      </c>
      <c r="I18" s="139">
        <f t="shared" si="2"/>
        <v>10500</v>
      </c>
      <c r="J18" s="75">
        <f t="shared" si="5"/>
        <v>90</v>
      </c>
    </row>
    <row r="19" spans="1:10" ht="12">
      <c r="A19" s="76">
        <f t="shared" si="1"/>
        <v>36615</v>
      </c>
      <c r="B19" s="76">
        <f>B18+92</f>
        <v>36707</v>
      </c>
      <c r="D19" s="135">
        <f t="shared" si="3"/>
        <v>276000</v>
      </c>
      <c r="G19" s="135">
        <f t="shared" si="4"/>
        <v>276000</v>
      </c>
      <c r="H19" s="163">
        <f t="shared" si="0"/>
        <v>0.15</v>
      </c>
      <c r="I19" s="139">
        <f t="shared" si="2"/>
        <v>10580</v>
      </c>
      <c r="J19" s="75">
        <f t="shared" si="5"/>
        <v>92</v>
      </c>
    </row>
    <row r="20" spans="1:10" ht="12">
      <c r="A20" s="76">
        <f t="shared" si="1"/>
        <v>36707</v>
      </c>
      <c r="B20" s="76">
        <f>B19+92</f>
        <v>36799</v>
      </c>
      <c r="D20" s="135">
        <f t="shared" si="3"/>
        <v>276000</v>
      </c>
      <c r="F20" s="135">
        <v>-4000</v>
      </c>
      <c r="G20" s="135">
        <f t="shared" si="4"/>
        <v>272000</v>
      </c>
      <c r="H20" s="163">
        <f t="shared" si="0"/>
        <v>0.15</v>
      </c>
      <c r="I20" s="139">
        <f t="shared" si="2"/>
        <v>10580</v>
      </c>
      <c r="J20" s="75">
        <f t="shared" si="5"/>
        <v>92</v>
      </c>
    </row>
    <row r="21" spans="1:10" s="80" customFormat="1" ht="12">
      <c r="A21" s="76">
        <f t="shared" si="1"/>
        <v>36799</v>
      </c>
      <c r="B21" s="76">
        <f>B20+91</f>
        <v>36890</v>
      </c>
      <c r="D21" s="135">
        <f t="shared" si="3"/>
        <v>272000</v>
      </c>
      <c r="E21" s="137"/>
      <c r="F21" s="135"/>
      <c r="G21" s="135">
        <f t="shared" si="4"/>
        <v>272000</v>
      </c>
      <c r="H21" s="163">
        <f t="shared" si="0"/>
        <v>0.15</v>
      </c>
      <c r="I21" s="139">
        <f t="shared" si="2"/>
        <v>10313.333333333332</v>
      </c>
      <c r="J21" s="75">
        <f t="shared" si="5"/>
        <v>91</v>
      </c>
    </row>
    <row r="22" spans="1:10" ht="12">
      <c r="A22" s="76">
        <f t="shared" si="1"/>
        <v>36890</v>
      </c>
      <c r="B22" s="76">
        <f>B21+91</f>
        <v>36981</v>
      </c>
      <c r="D22" s="135">
        <f t="shared" si="3"/>
        <v>272000</v>
      </c>
      <c r="F22" s="135">
        <v>-4000</v>
      </c>
      <c r="G22" s="135">
        <f t="shared" si="4"/>
        <v>268000</v>
      </c>
      <c r="H22" s="163">
        <f t="shared" si="0"/>
        <v>0.15</v>
      </c>
      <c r="I22" s="139">
        <f t="shared" si="2"/>
        <v>10313.333333333332</v>
      </c>
      <c r="J22" s="75">
        <f t="shared" si="5"/>
        <v>91</v>
      </c>
    </row>
    <row r="23" spans="1:10" ht="12">
      <c r="A23" s="76">
        <f t="shared" si="1"/>
        <v>36981</v>
      </c>
      <c r="B23" s="76">
        <f>B22+92</f>
        <v>37073</v>
      </c>
      <c r="D23" s="135">
        <f t="shared" si="3"/>
        <v>268000</v>
      </c>
      <c r="G23" s="135">
        <f t="shared" si="4"/>
        <v>268000</v>
      </c>
      <c r="H23" s="163">
        <f t="shared" si="0"/>
        <v>0.15</v>
      </c>
      <c r="I23" s="139">
        <f t="shared" si="2"/>
        <v>10273.333333333334</v>
      </c>
      <c r="J23" s="75">
        <f t="shared" si="5"/>
        <v>92</v>
      </c>
    </row>
    <row r="24" spans="1:10" ht="12">
      <c r="A24" s="76">
        <f t="shared" si="1"/>
        <v>37073</v>
      </c>
      <c r="B24" s="76">
        <f>B23+92</f>
        <v>37165</v>
      </c>
      <c r="D24" s="135">
        <f t="shared" si="3"/>
        <v>268000</v>
      </c>
      <c r="F24" s="135">
        <v>-4000</v>
      </c>
      <c r="G24" s="135">
        <f t="shared" si="4"/>
        <v>264000</v>
      </c>
      <c r="H24" s="163">
        <f t="shared" si="0"/>
        <v>0.15</v>
      </c>
      <c r="I24" s="139">
        <f t="shared" si="2"/>
        <v>10273.333333333334</v>
      </c>
      <c r="J24" s="75">
        <f t="shared" si="5"/>
        <v>92</v>
      </c>
    </row>
    <row r="25" spans="1:10" ht="12">
      <c r="A25" s="76">
        <f t="shared" si="1"/>
        <v>37165</v>
      </c>
      <c r="B25" s="76">
        <f>B24+91</f>
        <v>37256</v>
      </c>
      <c r="D25" s="135">
        <f t="shared" si="3"/>
        <v>264000</v>
      </c>
      <c r="G25" s="135">
        <f t="shared" si="4"/>
        <v>264000</v>
      </c>
      <c r="H25" s="163">
        <f t="shared" si="0"/>
        <v>0.15</v>
      </c>
      <c r="I25" s="139">
        <f t="shared" si="2"/>
        <v>10010</v>
      </c>
      <c r="J25" s="75">
        <f t="shared" si="5"/>
        <v>91</v>
      </c>
    </row>
    <row r="26" spans="1:10" ht="12">
      <c r="A26" s="76">
        <f t="shared" si="1"/>
        <v>37256</v>
      </c>
      <c r="B26" s="76">
        <f>B25+90</f>
        <v>37346</v>
      </c>
      <c r="D26" s="135">
        <f t="shared" si="3"/>
        <v>264000</v>
      </c>
      <c r="F26" s="135">
        <v>-4000</v>
      </c>
      <c r="G26" s="135">
        <f t="shared" si="4"/>
        <v>260000</v>
      </c>
      <c r="H26" s="163">
        <f t="shared" si="0"/>
        <v>0.15</v>
      </c>
      <c r="I26" s="139">
        <f t="shared" si="2"/>
        <v>9900</v>
      </c>
      <c r="J26" s="75">
        <f t="shared" si="5"/>
        <v>90</v>
      </c>
    </row>
    <row r="27" spans="1:10" ht="12">
      <c r="A27" s="76">
        <f t="shared" si="1"/>
        <v>37346</v>
      </c>
      <c r="B27" s="76">
        <f>B26+92</f>
        <v>37438</v>
      </c>
      <c r="D27" s="135">
        <f t="shared" si="3"/>
        <v>260000</v>
      </c>
      <c r="G27" s="135">
        <f t="shared" si="4"/>
        <v>260000</v>
      </c>
      <c r="H27" s="163">
        <f t="shared" si="0"/>
        <v>0.15</v>
      </c>
      <c r="I27" s="139">
        <f t="shared" si="2"/>
        <v>9966.666666666666</v>
      </c>
      <c r="J27" s="75">
        <f t="shared" si="5"/>
        <v>92</v>
      </c>
    </row>
    <row r="28" spans="1:10" ht="12">
      <c r="A28" s="76">
        <f t="shared" si="1"/>
        <v>37438</v>
      </c>
      <c r="B28" s="76">
        <f>B27+92</f>
        <v>37530</v>
      </c>
      <c r="D28" s="135">
        <f t="shared" si="3"/>
        <v>260000</v>
      </c>
      <c r="F28" s="135">
        <v>-4000</v>
      </c>
      <c r="G28" s="135">
        <f t="shared" si="4"/>
        <v>256000</v>
      </c>
      <c r="H28" s="163">
        <f t="shared" si="0"/>
        <v>0.15</v>
      </c>
      <c r="I28" s="139">
        <f t="shared" si="2"/>
        <v>9966.666666666666</v>
      </c>
      <c r="J28" s="75">
        <f t="shared" si="5"/>
        <v>92</v>
      </c>
    </row>
    <row r="29" spans="1:10" ht="12">
      <c r="A29" s="76">
        <f t="shared" si="1"/>
        <v>37530</v>
      </c>
      <c r="B29" s="76">
        <f>B28+91</f>
        <v>37621</v>
      </c>
      <c r="C29" s="144"/>
      <c r="D29" s="135">
        <f t="shared" si="3"/>
        <v>256000</v>
      </c>
      <c r="E29" s="145"/>
      <c r="G29" s="135">
        <f t="shared" si="4"/>
        <v>256000</v>
      </c>
      <c r="H29" s="163">
        <f t="shared" si="0"/>
        <v>0.15</v>
      </c>
      <c r="I29" s="139">
        <f t="shared" si="2"/>
        <v>9706.666666666668</v>
      </c>
      <c r="J29" s="75">
        <f t="shared" si="5"/>
        <v>91</v>
      </c>
    </row>
    <row r="30" spans="1:10" ht="12">
      <c r="A30" s="76">
        <f t="shared" si="1"/>
        <v>37621</v>
      </c>
      <c r="B30" s="76">
        <f>B29+90</f>
        <v>37711</v>
      </c>
      <c r="C30" s="144"/>
      <c r="D30" s="135">
        <f t="shared" si="3"/>
        <v>256000</v>
      </c>
      <c r="E30" s="145"/>
      <c r="F30" s="135">
        <v>-4000</v>
      </c>
      <c r="G30" s="135">
        <f t="shared" si="4"/>
        <v>252000</v>
      </c>
      <c r="H30" s="163">
        <f t="shared" si="0"/>
        <v>0.15</v>
      </c>
      <c r="I30" s="139">
        <f t="shared" si="2"/>
        <v>9600</v>
      </c>
      <c r="J30" s="75">
        <f t="shared" si="5"/>
        <v>90</v>
      </c>
    </row>
    <row r="31" spans="1:10" ht="12">
      <c r="A31" s="76">
        <f t="shared" si="1"/>
        <v>37711</v>
      </c>
      <c r="B31" s="76">
        <f>B30+92</f>
        <v>37803</v>
      </c>
      <c r="C31" s="144"/>
      <c r="D31" s="135">
        <f t="shared" si="3"/>
        <v>252000</v>
      </c>
      <c r="E31" s="145"/>
      <c r="G31" s="135">
        <f t="shared" si="4"/>
        <v>252000</v>
      </c>
      <c r="H31" s="163">
        <f t="shared" si="0"/>
        <v>0.15</v>
      </c>
      <c r="I31" s="139">
        <f t="shared" si="2"/>
        <v>9660</v>
      </c>
      <c r="J31" s="75">
        <f t="shared" si="5"/>
        <v>92</v>
      </c>
    </row>
    <row r="32" spans="1:10" ht="12">
      <c r="A32" s="76">
        <f t="shared" si="1"/>
        <v>37803</v>
      </c>
      <c r="B32" s="76">
        <f>B31+92</f>
        <v>37895</v>
      </c>
      <c r="D32" s="135">
        <f t="shared" si="3"/>
        <v>252000</v>
      </c>
      <c r="F32" s="135">
        <v>-4000</v>
      </c>
      <c r="G32" s="135">
        <f t="shared" si="4"/>
        <v>248000</v>
      </c>
      <c r="H32" s="163">
        <f t="shared" si="0"/>
        <v>0.15</v>
      </c>
      <c r="I32" s="139">
        <f t="shared" si="2"/>
        <v>9660</v>
      </c>
      <c r="J32" s="75">
        <f t="shared" si="5"/>
        <v>92</v>
      </c>
    </row>
    <row r="33" spans="1:10" ht="12">
      <c r="A33" s="76">
        <f t="shared" si="1"/>
        <v>37895</v>
      </c>
      <c r="B33" s="76">
        <f>B32+91</f>
        <v>37986</v>
      </c>
      <c r="D33" s="135">
        <f t="shared" si="3"/>
        <v>248000</v>
      </c>
      <c r="G33" s="135">
        <f t="shared" si="4"/>
        <v>248000</v>
      </c>
      <c r="H33" s="163">
        <f t="shared" si="0"/>
        <v>0.15</v>
      </c>
      <c r="I33" s="139">
        <f t="shared" si="2"/>
        <v>9403.333333333332</v>
      </c>
      <c r="J33" s="75">
        <f t="shared" si="5"/>
        <v>91</v>
      </c>
    </row>
    <row r="34" spans="1:10" ht="12">
      <c r="A34" s="76">
        <f t="shared" si="1"/>
        <v>37986</v>
      </c>
      <c r="B34" s="76">
        <f>B33+90</f>
        <v>38076</v>
      </c>
      <c r="D34" s="135">
        <f t="shared" si="3"/>
        <v>248000</v>
      </c>
      <c r="F34" s="135">
        <v>-4000</v>
      </c>
      <c r="G34" s="135">
        <f t="shared" si="4"/>
        <v>244000</v>
      </c>
      <c r="H34" s="163">
        <f t="shared" si="0"/>
        <v>0.15</v>
      </c>
      <c r="I34" s="139">
        <f t="shared" si="2"/>
        <v>9300</v>
      </c>
      <c r="J34" s="75">
        <f t="shared" si="5"/>
        <v>90</v>
      </c>
    </row>
    <row r="35" spans="1:10" ht="12">
      <c r="A35" s="76">
        <f t="shared" si="1"/>
        <v>38076</v>
      </c>
      <c r="B35" s="76">
        <f>B34+92</f>
        <v>38168</v>
      </c>
      <c r="D35" s="135">
        <f t="shared" si="3"/>
        <v>244000</v>
      </c>
      <c r="G35" s="135">
        <f t="shared" si="4"/>
        <v>244000</v>
      </c>
      <c r="H35" s="163">
        <f t="shared" si="0"/>
        <v>0.15</v>
      </c>
      <c r="I35" s="139">
        <f t="shared" si="2"/>
        <v>9353.333333333334</v>
      </c>
      <c r="J35" s="75">
        <f t="shared" si="5"/>
        <v>92</v>
      </c>
    </row>
    <row r="36" spans="1:10" ht="12">
      <c r="A36" s="76">
        <f t="shared" si="1"/>
        <v>38168</v>
      </c>
      <c r="B36" s="76">
        <f>B35+92</f>
        <v>38260</v>
      </c>
      <c r="D36" s="135">
        <f t="shared" si="3"/>
        <v>244000</v>
      </c>
      <c r="F36" s="135">
        <v>-4000</v>
      </c>
      <c r="G36" s="135">
        <f t="shared" si="4"/>
        <v>240000</v>
      </c>
      <c r="H36" s="163">
        <f t="shared" si="0"/>
        <v>0.15</v>
      </c>
      <c r="I36" s="139">
        <f t="shared" si="2"/>
        <v>9353.333333333334</v>
      </c>
      <c r="J36" s="75">
        <f t="shared" si="5"/>
        <v>92</v>
      </c>
    </row>
    <row r="37" spans="1:10" ht="12">
      <c r="A37" s="76">
        <f t="shared" si="1"/>
        <v>38260</v>
      </c>
      <c r="B37" s="76">
        <f>B36+91</f>
        <v>38351</v>
      </c>
      <c r="D37" s="135">
        <f t="shared" si="3"/>
        <v>240000</v>
      </c>
      <c r="G37" s="135">
        <f t="shared" si="4"/>
        <v>240000</v>
      </c>
      <c r="H37" s="163">
        <f t="shared" si="0"/>
        <v>0.15</v>
      </c>
      <c r="I37" s="139">
        <f t="shared" si="2"/>
        <v>9100</v>
      </c>
      <c r="J37" s="75">
        <f t="shared" si="5"/>
        <v>91</v>
      </c>
    </row>
    <row r="38" spans="1:10" ht="12">
      <c r="A38" s="76">
        <f t="shared" si="1"/>
        <v>38351</v>
      </c>
      <c r="B38" s="76">
        <f>B37+91</f>
        <v>38442</v>
      </c>
      <c r="D38" s="135">
        <f t="shared" si="3"/>
        <v>240000</v>
      </c>
      <c r="F38" s="135">
        <v>-4000</v>
      </c>
      <c r="G38" s="135">
        <f t="shared" si="4"/>
        <v>236000</v>
      </c>
      <c r="H38" s="163">
        <f t="shared" si="0"/>
        <v>0.15</v>
      </c>
      <c r="I38" s="139">
        <f t="shared" si="2"/>
        <v>9100</v>
      </c>
      <c r="J38" s="75">
        <f t="shared" si="5"/>
        <v>91</v>
      </c>
    </row>
    <row r="39" spans="1:10" ht="12">
      <c r="A39" s="76">
        <f t="shared" si="1"/>
        <v>38442</v>
      </c>
      <c r="B39" s="76">
        <f>B38+92</f>
        <v>38534</v>
      </c>
      <c r="D39" s="135">
        <f t="shared" si="3"/>
        <v>236000</v>
      </c>
      <c r="G39" s="135">
        <f t="shared" si="4"/>
        <v>236000</v>
      </c>
      <c r="H39" s="163">
        <f t="shared" si="0"/>
        <v>0.15</v>
      </c>
      <c r="I39" s="139">
        <f t="shared" si="2"/>
        <v>9046.666666666666</v>
      </c>
      <c r="J39" s="75">
        <f t="shared" si="5"/>
        <v>92</v>
      </c>
    </row>
    <row r="40" spans="1:10" ht="12">
      <c r="A40" s="76">
        <f t="shared" si="1"/>
        <v>38534</v>
      </c>
      <c r="B40" s="76">
        <f>B39+92</f>
        <v>38626</v>
      </c>
      <c r="D40" s="135">
        <f t="shared" si="3"/>
        <v>236000</v>
      </c>
      <c r="F40" s="135">
        <v>-4000</v>
      </c>
      <c r="G40" s="135">
        <f t="shared" si="4"/>
        <v>232000</v>
      </c>
      <c r="H40" s="163">
        <f t="shared" si="0"/>
        <v>0.15</v>
      </c>
      <c r="I40" s="139">
        <f t="shared" si="2"/>
        <v>9046.666666666666</v>
      </c>
      <c r="J40" s="75">
        <f t="shared" si="5"/>
        <v>92</v>
      </c>
    </row>
    <row r="41" spans="1:10" ht="12">
      <c r="A41" s="76">
        <f t="shared" si="1"/>
        <v>38626</v>
      </c>
      <c r="B41" s="76">
        <f>B40+91</f>
        <v>38717</v>
      </c>
      <c r="D41" s="135">
        <f t="shared" si="3"/>
        <v>232000</v>
      </c>
      <c r="G41" s="135">
        <f t="shared" si="4"/>
        <v>232000</v>
      </c>
      <c r="H41" s="163">
        <f t="shared" si="0"/>
        <v>0.15</v>
      </c>
      <c r="I41" s="139">
        <f t="shared" si="2"/>
        <v>8796.666666666668</v>
      </c>
      <c r="J41" s="75">
        <f t="shared" si="5"/>
        <v>91</v>
      </c>
    </row>
    <row r="42" spans="1:10" ht="12">
      <c r="A42" s="76">
        <f t="shared" si="1"/>
        <v>38717</v>
      </c>
      <c r="B42" s="76">
        <f>B41+90</f>
        <v>38807</v>
      </c>
      <c r="D42" s="135">
        <f t="shared" si="3"/>
        <v>232000</v>
      </c>
      <c r="F42" s="135">
        <v>-4000</v>
      </c>
      <c r="G42" s="135">
        <f t="shared" si="4"/>
        <v>228000</v>
      </c>
      <c r="H42" s="163">
        <f t="shared" si="0"/>
        <v>0.15</v>
      </c>
      <c r="I42" s="139">
        <f t="shared" si="2"/>
        <v>8700</v>
      </c>
      <c r="J42" s="75">
        <f t="shared" si="5"/>
        <v>90</v>
      </c>
    </row>
    <row r="43" spans="1:10" ht="12">
      <c r="A43" s="76">
        <f t="shared" si="1"/>
        <v>38807</v>
      </c>
      <c r="B43" s="76">
        <f>B42+92</f>
        <v>38899</v>
      </c>
      <c r="D43" s="135">
        <f t="shared" si="3"/>
        <v>228000</v>
      </c>
      <c r="G43" s="135">
        <f t="shared" si="4"/>
        <v>228000</v>
      </c>
      <c r="H43" s="163">
        <f t="shared" si="0"/>
        <v>0.15</v>
      </c>
      <c r="I43" s="139">
        <f t="shared" si="2"/>
        <v>8740</v>
      </c>
      <c r="J43" s="75">
        <f t="shared" si="5"/>
        <v>92</v>
      </c>
    </row>
    <row r="44" spans="1:10" ht="12">
      <c r="A44" s="76">
        <f t="shared" si="1"/>
        <v>38899</v>
      </c>
      <c r="B44" s="76">
        <f>B43+92</f>
        <v>38991</v>
      </c>
      <c r="D44" s="135">
        <f t="shared" si="3"/>
        <v>228000</v>
      </c>
      <c r="F44" s="135">
        <v>-4000</v>
      </c>
      <c r="G44" s="135">
        <f t="shared" si="4"/>
        <v>224000</v>
      </c>
      <c r="H44" s="163">
        <f t="shared" si="0"/>
        <v>0.15</v>
      </c>
      <c r="I44" s="139">
        <f t="shared" si="2"/>
        <v>8740</v>
      </c>
      <c r="J44" s="75">
        <f t="shared" si="5"/>
        <v>92</v>
      </c>
    </row>
    <row r="45" spans="1:10" ht="12">
      <c r="A45" s="76">
        <f t="shared" si="1"/>
        <v>38991</v>
      </c>
      <c r="B45" s="76">
        <f>B44+91</f>
        <v>39082</v>
      </c>
      <c r="D45" s="135">
        <f t="shared" si="3"/>
        <v>224000</v>
      </c>
      <c r="G45" s="135">
        <f t="shared" si="4"/>
        <v>224000</v>
      </c>
      <c r="H45" s="163">
        <f t="shared" si="0"/>
        <v>0.15</v>
      </c>
      <c r="I45" s="139">
        <f t="shared" si="2"/>
        <v>8493.333333333332</v>
      </c>
      <c r="J45" s="75">
        <f t="shared" si="5"/>
        <v>91</v>
      </c>
    </row>
    <row r="46" spans="1:10" ht="12">
      <c r="A46" s="76">
        <f t="shared" si="1"/>
        <v>39082</v>
      </c>
      <c r="B46" s="76">
        <f>B45+90</f>
        <v>39172</v>
      </c>
      <c r="D46" s="135">
        <f t="shared" si="3"/>
        <v>224000</v>
      </c>
      <c r="F46" s="135">
        <v>-4000</v>
      </c>
      <c r="G46" s="135">
        <f t="shared" si="4"/>
        <v>220000</v>
      </c>
      <c r="H46" s="163">
        <f t="shared" si="0"/>
        <v>0.15</v>
      </c>
      <c r="I46" s="139">
        <f t="shared" si="2"/>
        <v>8400</v>
      </c>
      <c r="J46" s="75">
        <f t="shared" si="5"/>
        <v>90</v>
      </c>
    </row>
    <row r="47" spans="1:10" ht="12">
      <c r="A47" s="76">
        <f t="shared" si="1"/>
        <v>39172</v>
      </c>
      <c r="B47" s="76">
        <f>B46+92</f>
        <v>39264</v>
      </c>
      <c r="D47" s="135">
        <f t="shared" si="3"/>
        <v>220000</v>
      </c>
      <c r="G47" s="135">
        <f t="shared" si="4"/>
        <v>220000</v>
      </c>
      <c r="H47" s="163">
        <f t="shared" si="0"/>
        <v>0.15</v>
      </c>
      <c r="I47" s="139">
        <f t="shared" si="2"/>
        <v>8433.333333333334</v>
      </c>
      <c r="J47" s="75">
        <f t="shared" si="5"/>
        <v>92</v>
      </c>
    </row>
    <row r="48" spans="1:10" ht="12">
      <c r="A48" s="76">
        <f t="shared" si="1"/>
        <v>39264</v>
      </c>
      <c r="B48" s="76">
        <f>B47+92</f>
        <v>39356</v>
      </c>
      <c r="D48" s="135">
        <f t="shared" si="3"/>
        <v>220000</v>
      </c>
      <c r="F48" s="135">
        <v>-4000</v>
      </c>
      <c r="G48" s="135">
        <f t="shared" si="4"/>
        <v>216000</v>
      </c>
      <c r="H48" s="163">
        <f t="shared" si="0"/>
        <v>0.15</v>
      </c>
      <c r="I48" s="139">
        <f t="shared" si="2"/>
        <v>8433.333333333334</v>
      </c>
      <c r="J48" s="75">
        <f t="shared" si="5"/>
        <v>92</v>
      </c>
    </row>
    <row r="49" spans="1:10" ht="12">
      <c r="A49" s="76">
        <f t="shared" si="1"/>
        <v>39356</v>
      </c>
      <c r="B49" s="76">
        <f>B48+91</f>
        <v>39447</v>
      </c>
      <c r="D49" s="135">
        <f t="shared" si="3"/>
        <v>216000</v>
      </c>
      <c r="G49" s="135">
        <f t="shared" si="4"/>
        <v>216000</v>
      </c>
      <c r="H49" s="163">
        <f t="shared" si="0"/>
        <v>0.15</v>
      </c>
      <c r="I49" s="139">
        <f t="shared" si="2"/>
        <v>8190</v>
      </c>
      <c r="J49" s="75">
        <f t="shared" si="5"/>
        <v>91</v>
      </c>
    </row>
    <row r="50" spans="1:10" ht="12">
      <c r="A50" s="76">
        <f t="shared" si="1"/>
        <v>39447</v>
      </c>
      <c r="B50" s="76">
        <f>B49+90</f>
        <v>39537</v>
      </c>
      <c r="D50" s="135">
        <f t="shared" si="3"/>
        <v>216000</v>
      </c>
      <c r="F50" s="135">
        <v>-4000</v>
      </c>
      <c r="G50" s="135">
        <f t="shared" si="4"/>
        <v>212000</v>
      </c>
      <c r="H50" s="163">
        <f t="shared" si="0"/>
        <v>0.15</v>
      </c>
      <c r="I50" s="139">
        <f t="shared" si="2"/>
        <v>8100</v>
      </c>
      <c r="J50" s="75">
        <f t="shared" si="5"/>
        <v>90</v>
      </c>
    </row>
    <row r="51" spans="1:10" ht="12">
      <c r="A51" s="76">
        <f t="shared" si="1"/>
        <v>39537</v>
      </c>
      <c r="B51" s="76">
        <f>B50+92</f>
        <v>39629</v>
      </c>
      <c r="D51" s="135">
        <f t="shared" si="3"/>
        <v>212000</v>
      </c>
      <c r="G51" s="135">
        <f t="shared" si="4"/>
        <v>212000</v>
      </c>
      <c r="H51" s="163">
        <f t="shared" si="0"/>
        <v>0.15</v>
      </c>
      <c r="I51" s="139">
        <f t="shared" si="2"/>
        <v>8126.666666666666</v>
      </c>
      <c r="J51" s="75">
        <f t="shared" si="5"/>
        <v>92</v>
      </c>
    </row>
    <row r="52" spans="1:10" ht="12">
      <c r="A52" s="76">
        <f t="shared" si="1"/>
        <v>39629</v>
      </c>
      <c r="B52" s="76">
        <f>B51+92</f>
        <v>39721</v>
      </c>
      <c r="D52" s="135">
        <f t="shared" si="3"/>
        <v>212000</v>
      </c>
      <c r="F52" s="135">
        <v>-4000</v>
      </c>
      <c r="G52" s="135">
        <f t="shared" si="4"/>
        <v>208000</v>
      </c>
      <c r="H52" s="163">
        <f t="shared" si="0"/>
        <v>0.15</v>
      </c>
      <c r="I52" s="139">
        <f t="shared" si="2"/>
        <v>8126.666666666666</v>
      </c>
      <c r="J52" s="75">
        <f t="shared" si="5"/>
        <v>92</v>
      </c>
    </row>
    <row r="53" spans="1:10" ht="12">
      <c r="A53" s="76">
        <f t="shared" si="1"/>
        <v>39721</v>
      </c>
      <c r="B53" s="76">
        <f>B52+91</f>
        <v>39812</v>
      </c>
      <c r="D53" s="135">
        <f t="shared" si="3"/>
        <v>208000</v>
      </c>
      <c r="G53" s="135">
        <f t="shared" si="4"/>
        <v>208000</v>
      </c>
      <c r="H53" s="163">
        <f t="shared" si="0"/>
        <v>0.15</v>
      </c>
      <c r="I53" s="139">
        <f t="shared" si="2"/>
        <v>7886.666666666667</v>
      </c>
      <c r="J53" s="75">
        <f t="shared" si="5"/>
        <v>91</v>
      </c>
    </row>
    <row r="54" spans="1:10" ht="12">
      <c r="A54" s="76">
        <f t="shared" si="1"/>
        <v>39812</v>
      </c>
      <c r="B54" s="76">
        <f>B53+91</f>
        <v>39903</v>
      </c>
      <c r="D54" s="135">
        <f t="shared" si="3"/>
        <v>208000</v>
      </c>
      <c r="F54" s="135">
        <v>-4000</v>
      </c>
      <c r="G54" s="135">
        <f t="shared" si="4"/>
        <v>204000</v>
      </c>
      <c r="H54" s="163">
        <f t="shared" si="0"/>
        <v>0.15</v>
      </c>
      <c r="I54" s="139">
        <f t="shared" si="2"/>
        <v>7886.666666666667</v>
      </c>
      <c r="J54" s="75">
        <f t="shared" si="5"/>
        <v>91</v>
      </c>
    </row>
    <row r="55" spans="1:10" ht="12">
      <c r="A55" s="76">
        <f t="shared" si="1"/>
        <v>39903</v>
      </c>
      <c r="B55" s="76">
        <f>B54+92</f>
        <v>39995</v>
      </c>
      <c r="D55" s="135">
        <f t="shared" si="3"/>
        <v>204000</v>
      </c>
      <c r="G55" s="135">
        <f t="shared" si="4"/>
        <v>204000</v>
      </c>
      <c r="H55" s="163">
        <f t="shared" si="0"/>
        <v>0.15</v>
      </c>
      <c r="I55" s="139">
        <f t="shared" si="2"/>
        <v>7820</v>
      </c>
      <c r="J55" s="75">
        <f t="shared" si="5"/>
        <v>92</v>
      </c>
    </row>
    <row r="56" spans="1:10" ht="12">
      <c r="A56" s="76">
        <f t="shared" si="1"/>
        <v>39995</v>
      </c>
      <c r="B56" s="76">
        <f>B55+92</f>
        <v>40087</v>
      </c>
      <c r="D56" s="135">
        <f t="shared" si="3"/>
        <v>204000</v>
      </c>
      <c r="F56" s="135">
        <v>-4000</v>
      </c>
      <c r="G56" s="135">
        <f t="shared" si="4"/>
        <v>200000</v>
      </c>
      <c r="H56" s="163">
        <f t="shared" si="0"/>
        <v>0.15</v>
      </c>
      <c r="I56" s="139">
        <f t="shared" si="2"/>
        <v>7820</v>
      </c>
      <c r="J56" s="75">
        <f t="shared" si="5"/>
        <v>92</v>
      </c>
    </row>
    <row r="57" spans="1:10" ht="12">
      <c r="A57" s="76">
        <f t="shared" si="1"/>
        <v>40087</v>
      </c>
      <c r="B57" s="76">
        <f>B56+91</f>
        <v>40178</v>
      </c>
      <c r="D57" s="135">
        <f t="shared" si="3"/>
        <v>200000</v>
      </c>
      <c r="G57" s="135">
        <f t="shared" si="4"/>
        <v>200000</v>
      </c>
      <c r="H57" s="163">
        <f t="shared" si="0"/>
        <v>0.15</v>
      </c>
      <c r="I57" s="139">
        <f t="shared" si="2"/>
        <v>7583.333333333333</v>
      </c>
      <c r="J57" s="75">
        <f t="shared" si="5"/>
        <v>91</v>
      </c>
    </row>
    <row r="58" spans="1:10" ht="12">
      <c r="A58" s="76">
        <f t="shared" si="1"/>
        <v>40178</v>
      </c>
      <c r="B58" s="76">
        <f>B57+90</f>
        <v>40268</v>
      </c>
      <c r="D58" s="135">
        <f t="shared" si="3"/>
        <v>200000</v>
      </c>
      <c r="F58" s="135">
        <v>-4000</v>
      </c>
      <c r="G58" s="135">
        <f t="shared" si="4"/>
        <v>196000</v>
      </c>
      <c r="H58" s="163">
        <f t="shared" si="0"/>
        <v>0.15</v>
      </c>
      <c r="I58" s="139">
        <f t="shared" si="2"/>
        <v>7500</v>
      </c>
      <c r="J58" s="75">
        <f t="shared" si="5"/>
        <v>90</v>
      </c>
    </row>
    <row r="59" spans="1:10" ht="12">
      <c r="A59" s="76">
        <f t="shared" si="1"/>
        <v>40268</v>
      </c>
      <c r="B59" s="76">
        <f>B58+92</f>
        <v>40360</v>
      </c>
      <c r="D59" s="135">
        <f t="shared" si="3"/>
        <v>196000</v>
      </c>
      <c r="G59" s="135">
        <f t="shared" si="4"/>
        <v>196000</v>
      </c>
      <c r="H59" s="163">
        <f t="shared" si="0"/>
        <v>0.15</v>
      </c>
      <c r="I59" s="139">
        <f t="shared" si="2"/>
        <v>7513.333333333334</v>
      </c>
      <c r="J59" s="75">
        <f t="shared" si="5"/>
        <v>92</v>
      </c>
    </row>
    <row r="60" spans="1:10" ht="12">
      <c r="A60" s="76">
        <f t="shared" si="1"/>
        <v>40360</v>
      </c>
      <c r="B60" s="76">
        <f>B59+92</f>
        <v>40452</v>
      </c>
      <c r="D60" s="135">
        <f t="shared" si="3"/>
        <v>196000</v>
      </c>
      <c r="F60" s="135">
        <v>-4000</v>
      </c>
      <c r="G60" s="135">
        <f t="shared" si="4"/>
        <v>192000</v>
      </c>
      <c r="H60" s="163">
        <f t="shared" si="0"/>
        <v>0.15</v>
      </c>
      <c r="I60" s="139">
        <f t="shared" si="2"/>
        <v>7513.333333333334</v>
      </c>
      <c r="J60" s="75">
        <f t="shared" si="5"/>
        <v>92</v>
      </c>
    </row>
    <row r="61" spans="1:10" ht="12">
      <c r="A61" s="76">
        <f t="shared" si="1"/>
        <v>40452</v>
      </c>
      <c r="B61" s="76">
        <f>B60+91</f>
        <v>40543</v>
      </c>
      <c r="D61" s="135">
        <f t="shared" si="3"/>
        <v>192000</v>
      </c>
      <c r="G61" s="135">
        <f t="shared" si="4"/>
        <v>192000</v>
      </c>
      <c r="H61" s="163">
        <f t="shared" si="0"/>
        <v>0.15</v>
      </c>
      <c r="I61" s="139">
        <f t="shared" si="2"/>
        <v>7280</v>
      </c>
      <c r="J61" s="75">
        <f t="shared" si="5"/>
        <v>91</v>
      </c>
    </row>
    <row r="62" spans="1:10" ht="12">
      <c r="A62" s="76">
        <f t="shared" si="1"/>
        <v>40543</v>
      </c>
      <c r="B62" s="76">
        <f>B61+90</f>
        <v>40633</v>
      </c>
      <c r="D62" s="135">
        <f t="shared" si="3"/>
        <v>192000</v>
      </c>
      <c r="F62" s="135">
        <v>-4000</v>
      </c>
      <c r="G62" s="135">
        <f t="shared" si="4"/>
        <v>188000</v>
      </c>
      <c r="H62" s="163">
        <f t="shared" si="0"/>
        <v>0.15</v>
      </c>
      <c r="I62" s="139">
        <f t="shared" si="2"/>
        <v>7200</v>
      </c>
      <c r="J62" s="75">
        <f t="shared" si="5"/>
        <v>90</v>
      </c>
    </row>
    <row r="63" spans="1:10" ht="12">
      <c r="A63" s="76">
        <f t="shared" si="1"/>
        <v>40633</v>
      </c>
      <c r="B63" s="76">
        <f>B62+92</f>
        <v>40725</v>
      </c>
      <c r="D63" s="135">
        <f t="shared" si="3"/>
        <v>188000</v>
      </c>
      <c r="F63" s="135">
        <v>-100000</v>
      </c>
      <c r="G63" s="135">
        <f t="shared" si="4"/>
        <v>88000</v>
      </c>
      <c r="H63" s="163">
        <f t="shared" si="0"/>
        <v>0.15</v>
      </c>
      <c r="I63" s="139">
        <f>D63*H63/360*J63</f>
        <v>7206.666666666666</v>
      </c>
      <c r="J63" s="75">
        <f t="shared" si="5"/>
        <v>92</v>
      </c>
    </row>
    <row r="64" spans="1:10" ht="12">
      <c r="A64" s="76">
        <f t="shared" si="1"/>
        <v>40725</v>
      </c>
      <c r="B64" s="76">
        <f>B63+92</f>
        <v>40817</v>
      </c>
      <c r="D64" s="135">
        <f t="shared" si="3"/>
        <v>88000</v>
      </c>
      <c r="F64" s="135">
        <v>-4000</v>
      </c>
      <c r="G64" s="135">
        <f t="shared" si="4"/>
        <v>84000</v>
      </c>
      <c r="H64" s="163">
        <f t="shared" si="0"/>
        <v>0.15</v>
      </c>
      <c r="I64" s="139">
        <f t="shared" si="2"/>
        <v>3373.333333333333</v>
      </c>
      <c r="J64" s="75">
        <f t="shared" si="5"/>
        <v>92</v>
      </c>
    </row>
    <row r="65" spans="1:10" ht="12">
      <c r="A65" s="76">
        <f t="shared" si="1"/>
        <v>40817</v>
      </c>
      <c r="B65" s="76">
        <f>B64+91</f>
        <v>40908</v>
      </c>
      <c r="D65" s="135">
        <f t="shared" si="3"/>
        <v>84000</v>
      </c>
      <c r="G65" s="135">
        <f t="shared" si="4"/>
        <v>84000</v>
      </c>
      <c r="H65" s="163">
        <f t="shared" si="0"/>
        <v>0.15</v>
      </c>
      <c r="I65" s="139">
        <f t="shared" si="2"/>
        <v>3185</v>
      </c>
      <c r="J65" s="75">
        <f t="shared" si="5"/>
        <v>91</v>
      </c>
    </row>
    <row r="66" spans="1:10" ht="12">
      <c r="A66" s="76">
        <f t="shared" si="1"/>
        <v>40908</v>
      </c>
      <c r="B66" s="76">
        <f>B65+90</f>
        <v>40998</v>
      </c>
      <c r="D66" s="135">
        <f t="shared" si="3"/>
        <v>84000</v>
      </c>
      <c r="F66" s="135">
        <v>-4000</v>
      </c>
      <c r="G66" s="135">
        <f t="shared" si="4"/>
        <v>80000</v>
      </c>
      <c r="H66" s="163">
        <f t="shared" si="0"/>
        <v>0.15</v>
      </c>
      <c r="I66" s="139">
        <f t="shared" si="2"/>
        <v>3150</v>
      </c>
      <c r="J66" s="75">
        <f t="shared" si="5"/>
        <v>90</v>
      </c>
    </row>
    <row r="67" spans="1:10" ht="12">
      <c r="A67" s="76">
        <f t="shared" si="1"/>
        <v>40998</v>
      </c>
      <c r="B67" s="76">
        <f>B66+92</f>
        <v>41090</v>
      </c>
      <c r="D67" s="135">
        <f aca="true" t="shared" si="6" ref="D67:D81">G66</f>
        <v>80000</v>
      </c>
      <c r="G67" s="135">
        <f aca="true" t="shared" si="7" ref="G67:G81">SUM(D67:F67)</f>
        <v>80000</v>
      </c>
      <c r="H67" s="163">
        <f aca="true" t="shared" si="8" ref="H67:H81">H66</f>
        <v>0.15</v>
      </c>
      <c r="I67" s="139">
        <f t="shared" si="2"/>
        <v>3066.666666666667</v>
      </c>
      <c r="J67" s="75">
        <f aca="true" t="shared" si="9" ref="J67:J81">B67-A67</f>
        <v>92</v>
      </c>
    </row>
    <row r="68" spans="1:10" ht="12">
      <c r="A68" s="76">
        <f t="shared" si="1"/>
        <v>41090</v>
      </c>
      <c r="B68" s="76">
        <f>B67+92</f>
        <v>41182</v>
      </c>
      <c r="D68" s="135">
        <f t="shared" si="6"/>
        <v>80000</v>
      </c>
      <c r="F68" s="135">
        <v>-4000</v>
      </c>
      <c r="G68" s="135">
        <f t="shared" si="7"/>
        <v>76000</v>
      </c>
      <c r="H68" s="163">
        <f t="shared" si="8"/>
        <v>0.15</v>
      </c>
      <c r="I68" s="139">
        <f t="shared" si="2"/>
        <v>3066.666666666667</v>
      </c>
      <c r="J68" s="75">
        <f t="shared" si="9"/>
        <v>92</v>
      </c>
    </row>
    <row r="69" spans="1:10" ht="12">
      <c r="A69" s="76">
        <f t="shared" si="1"/>
        <v>41182</v>
      </c>
      <c r="B69" s="76">
        <f>B68+91</f>
        <v>41273</v>
      </c>
      <c r="D69" s="135">
        <f t="shared" si="6"/>
        <v>76000</v>
      </c>
      <c r="G69" s="135">
        <f t="shared" si="7"/>
        <v>76000</v>
      </c>
      <c r="H69" s="163">
        <f t="shared" si="8"/>
        <v>0.15</v>
      </c>
      <c r="I69" s="139">
        <f t="shared" si="2"/>
        <v>2881.666666666667</v>
      </c>
      <c r="J69" s="75">
        <f t="shared" si="9"/>
        <v>91</v>
      </c>
    </row>
    <row r="70" spans="1:10" ht="12">
      <c r="A70" s="76">
        <f t="shared" si="1"/>
        <v>41273</v>
      </c>
      <c r="B70" s="76">
        <f>B69+91</f>
        <v>41364</v>
      </c>
      <c r="D70" s="135">
        <f t="shared" si="6"/>
        <v>76000</v>
      </c>
      <c r="F70" s="135">
        <v>-4000</v>
      </c>
      <c r="G70" s="135">
        <f t="shared" si="7"/>
        <v>72000</v>
      </c>
      <c r="H70" s="163">
        <f t="shared" si="8"/>
        <v>0.15</v>
      </c>
      <c r="I70" s="139">
        <f t="shared" si="2"/>
        <v>2881.666666666667</v>
      </c>
      <c r="J70" s="75">
        <f t="shared" si="9"/>
        <v>91</v>
      </c>
    </row>
    <row r="71" spans="1:10" ht="12">
      <c r="A71" s="76">
        <f t="shared" si="1"/>
        <v>41364</v>
      </c>
      <c r="B71" s="76">
        <f>B70+92</f>
        <v>41456</v>
      </c>
      <c r="D71" s="135">
        <f t="shared" si="6"/>
        <v>72000</v>
      </c>
      <c r="G71" s="135">
        <f t="shared" si="7"/>
        <v>72000</v>
      </c>
      <c r="H71" s="163">
        <f t="shared" si="8"/>
        <v>0.15</v>
      </c>
      <c r="I71" s="139">
        <f t="shared" si="2"/>
        <v>2760</v>
      </c>
      <c r="J71" s="75">
        <f t="shared" si="9"/>
        <v>92</v>
      </c>
    </row>
    <row r="72" spans="1:10" ht="12">
      <c r="A72" s="76">
        <f aca="true" t="shared" si="10" ref="A72:A96">B71</f>
        <v>41456</v>
      </c>
      <c r="B72" s="76">
        <f>B71+92</f>
        <v>41548</v>
      </c>
      <c r="D72" s="135">
        <f t="shared" si="6"/>
        <v>72000</v>
      </c>
      <c r="F72" s="135">
        <v>-4000</v>
      </c>
      <c r="G72" s="135">
        <f t="shared" si="7"/>
        <v>68000</v>
      </c>
      <c r="H72" s="163">
        <f t="shared" si="8"/>
        <v>0.15</v>
      </c>
      <c r="I72" s="139">
        <f aca="true" t="shared" si="11" ref="I72:I96">D72*H72/360*J72</f>
        <v>2760</v>
      </c>
      <c r="J72" s="75">
        <f t="shared" si="9"/>
        <v>92</v>
      </c>
    </row>
    <row r="73" spans="1:10" ht="12">
      <c r="A73" s="76">
        <f t="shared" si="10"/>
        <v>41548</v>
      </c>
      <c r="B73" s="76">
        <f>B72+91</f>
        <v>41639</v>
      </c>
      <c r="D73" s="135">
        <f t="shared" si="6"/>
        <v>68000</v>
      </c>
      <c r="G73" s="135">
        <f t="shared" si="7"/>
        <v>68000</v>
      </c>
      <c r="H73" s="163">
        <f t="shared" si="8"/>
        <v>0.15</v>
      </c>
      <c r="I73" s="139">
        <f t="shared" si="11"/>
        <v>2578.333333333333</v>
      </c>
      <c r="J73" s="75">
        <f t="shared" si="9"/>
        <v>91</v>
      </c>
    </row>
    <row r="74" spans="1:10" ht="12">
      <c r="A74" s="76">
        <f t="shared" si="10"/>
        <v>41639</v>
      </c>
      <c r="B74" s="76">
        <f>B73+90</f>
        <v>41729</v>
      </c>
      <c r="D74" s="135">
        <f t="shared" si="6"/>
        <v>68000</v>
      </c>
      <c r="F74" s="135">
        <v>-4000</v>
      </c>
      <c r="G74" s="135">
        <f t="shared" si="7"/>
        <v>64000</v>
      </c>
      <c r="H74" s="163">
        <f t="shared" si="8"/>
        <v>0.15</v>
      </c>
      <c r="I74" s="139">
        <f t="shared" si="11"/>
        <v>2550</v>
      </c>
      <c r="J74" s="75">
        <f t="shared" si="9"/>
        <v>90</v>
      </c>
    </row>
    <row r="75" spans="1:10" ht="12">
      <c r="A75" s="76">
        <f t="shared" si="10"/>
        <v>41729</v>
      </c>
      <c r="B75" s="76">
        <f>B74+92</f>
        <v>41821</v>
      </c>
      <c r="D75" s="135">
        <f t="shared" si="6"/>
        <v>64000</v>
      </c>
      <c r="G75" s="135">
        <f t="shared" si="7"/>
        <v>64000</v>
      </c>
      <c r="H75" s="163">
        <f t="shared" si="8"/>
        <v>0.15</v>
      </c>
      <c r="I75" s="139">
        <f t="shared" si="11"/>
        <v>2453.3333333333335</v>
      </c>
      <c r="J75" s="75">
        <f t="shared" si="9"/>
        <v>92</v>
      </c>
    </row>
    <row r="76" spans="1:10" ht="12">
      <c r="A76" s="76">
        <f t="shared" si="10"/>
        <v>41821</v>
      </c>
      <c r="B76" s="76">
        <f>B75+92</f>
        <v>41913</v>
      </c>
      <c r="D76" s="135">
        <f t="shared" si="6"/>
        <v>64000</v>
      </c>
      <c r="F76" s="135">
        <v>-4000</v>
      </c>
      <c r="G76" s="135">
        <f t="shared" si="7"/>
        <v>60000</v>
      </c>
      <c r="H76" s="163">
        <f t="shared" si="8"/>
        <v>0.15</v>
      </c>
      <c r="I76" s="139">
        <f t="shared" si="11"/>
        <v>2453.3333333333335</v>
      </c>
      <c r="J76" s="75">
        <f t="shared" si="9"/>
        <v>92</v>
      </c>
    </row>
    <row r="77" spans="1:10" ht="12">
      <c r="A77" s="76">
        <f t="shared" si="10"/>
        <v>41913</v>
      </c>
      <c r="B77" s="76">
        <f>B76+91</f>
        <v>42004</v>
      </c>
      <c r="D77" s="135">
        <f t="shared" si="6"/>
        <v>60000</v>
      </c>
      <c r="G77" s="135">
        <f t="shared" si="7"/>
        <v>60000</v>
      </c>
      <c r="H77" s="163">
        <f t="shared" si="8"/>
        <v>0.15</v>
      </c>
      <c r="I77" s="139">
        <f t="shared" si="11"/>
        <v>2275</v>
      </c>
      <c r="J77" s="75">
        <f t="shared" si="9"/>
        <v>91</v>
      </c>
    </row>
    <row r="78" spans="1:10" ht="12">
      <c r="A78" s="76">
        <f t="shared" si="10"/>
        <v>42004</v>
      </c>
      <c r="B78" s="76">
        <f>B77+90</f>
        <v>42094</v>
      </c>
      <c r="D78" s="135">
        <f t="shared" si="6"/>
        <v>60000</v>
      </c>
      <c r="F78" s="135">
        <v>-4000</v>
      </c>
      <c r="G78" s="135">
        <f t="shared" si="7"/>
        <v>56000</v>
      </c>
      <c r="H78" s="163">
        <f t="shared" si="8"/>
        <v>0.15</v>
      </c>
      <c r="I78" s="139">
        <f t="shared" si="11"/>
        <v>2250</v>
      </c>
      <c r="J78" s="75">
        <f t="shared" si="9"/>
        <v>90</v>
      </c>
    </row>
    <row r="79" spans="1:10" ht="12">
      <c r="A79" s="76">
        <f t="shared" si="10"/>
        <v>42094</v>
      </c>
      <c r="B79" s="76">
        <f>B78+92</f>
        <v>42186</v>
      </c>
      <c r="D79" s="135">
        <f t="shared" si="6"/>
        <v>56000</v>
      </c>
      <c r="G79" s="135">
        <f t="shared" si="7"/>
        <v>56000</v>
      </c>
      <c r="H79" s="163">
        <f t="shared" si="8"/>
        <v>0.15</v>
      </c>
      <c r="I79" s="139">
        <f t="shared" si="11"/>
        <v>2146.6666666666665</v>
      </c>
      <c r="J79" s="75">
        <f t="shared" si="9"/>
        <v>92</v>
      </c>
    </row>
    <row r="80" spans="1:10" ht="12">
      <c r="A80" s="76">
        <f t="shared" si="10"/>
        <v>42186</v>
      </c>
      <c r="B80" s="76">
        <f>B79+92</f>
        <v>42278</v>
      </c>
      <c r="D80" s="135">
        <f t="shared" si="6"/>
        <v>56000</v>
      </c>
      <c r="F80" s="135">
        <v>-4000</v>
      </c>
      <c r="G80" s="135">
        <f t="shared" si="7"/>
        <v>52000</v>
      </c>
      <c r="H80" s="163">
        <f t="shared" si="8"/>
        <v>0.15</v>
      </c>
      <c r="I80" s="139">
        <f t="shared" si="11"/>
        <v>2146.6666666666665</v>
      </c>
      <c r="J80" s="75">
        <f t="shared" si="9"/>
        <v>92</v>
      </c>
    </row>
    <row r="81" spans="1:10" s="166" customFormat="1" ht="12.75">
      <c r="A81" s="165">
        <f t="shared" si="10"/>
        <v>42278</v>
      </c>
      <c r="B81" s="165">
        <f>B80+91</f>
        <v>42369</v>
      </c>
      <c r="D81" s="152">
        <f t="shared" si="6"/>
        <v>52000</v>
      </c>
      <c r="E81" s="152"/>
      <c r="F81" s="135"/>
      <c r="G81" s="152">
        <f t="shared" si="7"/>
        <v>52000</v>
      </c>
      <c r="H81" s="167">
        <f t="shared" si="8"/>
        <v>0.15</v>
      </c>
      <c r="I81" s="152">
        <f t="shared" si="11"/>
        <v>1971.6666666666667</v>
      </c>
      <c r="J81" s="168">
        <f t="shared" si="9"/>
        <v>91</v>
      </c>
    </row>
    <row r="82" spans="1:10" ht="12">
      <c r="A82" s="76">
        <f t="shared" si="10"/>
        <v>42369</v>
      </c>
      <c r="B82" s="76">
        <f>B81+90</f>
        <v>42459</v>
      </c>
      <c r="D82" s="135">
        <f aca="true" t="shared" si="12" ref="D82:D95">G81</f>
        <v>52000</v>
      </c>
      <c r="F82" s="135">
        <v>-4000</v>
      </c>
      <c r="G82" s="135">
        <f aca="true" t="shared" si="13" ref="G82:G95">SUM(D82:F82)</f>
        <v>48000</v>
      </c>
      <c r="H82" s="163">
        <f aca="true" t="shared" si="14" ref="H82:H95">H81</f>
        <v>0.15</v>
      </c>
      <c r="I82" s="139">
        <f>D82*H82/360*J82</f>
        <v>1950</v>
      </c>
      <c r="J82" s="75">
        <f aca="true" t="shared" si="15" ref="J82:J95">B82-A82</f>
        <v>90</v>
      </c>
    </row>
    <row r="83" spans="1:10" ht="12">
      <c r="A83" s="76">
        <f t="shared" si="10"/>
        <v>42459</v>
      </c>
      <c r="B83" s="76">
        <f>B82+92</f>
        <v>42551</v>
      </c>
      <c r="D83" s="135">
        <f t="shared" si="12"/>
        <v>48000</v>
      </c>
      <c r="G83" s="135">
        <f t="shared" si="13"/>
        <v>48000</v>
      </c>
      <c r="H83" s="163">
        <f t="shared" si="14"/>
        <v>0.15</v>
      </c>
      <c r="I83" s="139">
        <f>D83*H83/360*J83</f>
        <v>1840</v>
      </c>
      <c r="J83" s="75">
        <f t="shared" si="15"/>
        <v>92</v>
      </c>
    </row>
    <row r="84" spans="1:10" ht="12">
      <c r="A84" s="76">
        <f t="shared" si="10"/>
        <v>42551</v>
      </c>
      <c r="B84" s="76">
        <f>B83+92</f>
        <v>42643</v>
      </c>
      <c r="D84" s="135">
        <f t="shared" si="12"/>
        <v>48000</v>
      </c>
      <c r="F84" s="135">
        <v>-4000</v>
      </c>
      <c r="G84" s="135">
        <f t="shared" si="13"/>
        <v>44000</v>
      </c>
      <c r="H84" s="163">
        <f t="shared" si="14"/>
        <v>0.15</v>
      </c>
      <c r="I84" s="139">
        <f>D84*H84/360*J84</f>
        <v>1840</v>
      </c>
      <c r="J84" s="75">
        <f t="shared" si="15"/>
        <v>92</v>
      </c>
    </row>
    <row r="85" spans="1:12" s="166" customFormat="1" ht="12.75">
      <c r="A85" s="165">
        <f t="shared" si="10"/>
        <v>42643</v>
      </c>
      <c r="B85" s="165">
        <f>B84+91</f>
        <v>42734</v>
      </c>
      <c r="D85" s="152">
        <f t="shared" si="12"/>
        <v>44000</v>
      </c>
      <c r="E85" s="152"/>
      <c r="F85" s="135"/>
      <c r="G85" s="152">
        <f t="shared" si="13"/>
        <v>44000</v>
      </c>
      <c r="H85" s="167">
        <f t="shared" si="14"/>
        <v>0.15</v>
      </c>
      <c r="I85" s="152">
        <f>D85*H85/360*J85</f>
        <v>1668.3333333333333</v>
      </c>
      <c r="J85" s="168">
        <f t="shared" si="15"/>
        <v>91</v>
      </c>
      <c r="K85" s="200"/>
      <c r="L85" s="200"/>
    </row>
    <row r="86" spans="1:10" ht="12">
      <c r="A86" s="76">
        <f t="shared" si="10"/>
        <v>42734</v>
      </c>
      <c r="B86" s="76">
        <f>B85+91</f>
        <v>42825</v>
      </c>
      <c r="D86" s="135">
        <f t="shared" si="12"/>
        <v>44000</v>
      </c>
      <c r="F86" s="135">
        <v>-4000</v>
      </c>
      <c r="G86" s="135">
        <f t="shared" si="13"/>
        <v>40000</v>
      </c>
      <c r="H86" s="163">
        <f t="shared" si="14"/>
        <v>0.15</v>
      </c>
      <c r="I86" s="139">
        <f t="shared" si="11"/>
        <v>1668.3333333333333</v>
      </c>
      <c r="J86" s="75">
        <f t="shared" si="15"/>
        <v>91</v>
      </c>
    </row>
    <row r="87" spans="1:10" ht="12">
      <c r="A87" s="76">
        <f t="shared" si="10"/>
        <v>42825</v>
      </c>
      <c r="B87" s="76">
        <f>B86+92</f>
        <v>42917</v>
      </c>
      <c r="D87" s="135">
        <f t="shared" si="12"/>
        <v>40000</v>
      </c>
      <c r="G87" s="135">
        <f t="shared" si="13"/>
        <v>40000</v>
      </c>
      <c r="H87" s="163">
        <f t="shared" si="14"/>
        <v>0.15</v>
      </c>
      <c r="I87" s="139">
        <f t="shared" si="11"/>
        <v>1533.3333333333335</v>
      </c>
      <c r="J87" s="75">
        <f t="shared" si="15"/>
        <v>92</v>
      </c>
    </row>
    <row r="88" spans="1:10" ht="12">
      <c r="A88" s="76">
        <f t="shared" si="10"/>
        <v>42917</v>
      </c>
      <c r="B88" s="76">
        <f>B87+92</f>
        <v>43009</v>
      </c>
      <c r="D88" s="135">
        <f t="shared" si="12"/>
        <v>40000</v>
      </c>
      <c r="F88" s="135">
        <v>-4000</v>
      </c>
      <c r="G88" s="135">
        <f t="shared" si="13"/>
        <v>36000</v>
      </c>
      <c r="H88" s="163">
        <f t="shared" si="14"/>
        <v>0.15</v>
      </c>
      <c r="I88" s="139">
        <f t="shared" si="11"/>
        <v>1533.3333333333335</v>
      </c>
      <c r="J88" s="75">
        <f t="shared" si="15"/>
        <v>92</v>
      </c>
    </row>
    <row r="89" spans="1:12" s="166" customFormat="1" ht="12.75">
      <c r="A89" s="165">
        <f t="shared" si="10"/>
        <v>43009</v>
      </c>
      <c r="B89" s="165">
        <f>B88+91</f>
        <v>43100</v>
      </c>
      <c r="D89" s="152">
        <f t="shared" si="12"/>
        <v>36000</v>
      </c>
      <c r="E89" s="152"/>
      <c r="F89" s="135"/>
      <c r="G89" s="152">
        <f t="shared" si="13"/>
        <v>36000</v>
      </c>
      <c r="H89" s="167">
        <f t="shared" si="14"/>
        <v>0.15</v>
      </c>
      <c r="I89" s="152">
        <f t="shared" si="11"/>
        <v>1365</v>
      </c>
      <c r="J89" s="168">
        <f t="shared" si="15"/>
        <v>91</v>
      </c>
      <c r="L89" s="200"/>
    </row>
    <row r="90" spans="1:12" ht="12">
      <c r="A90" s="76">
        <f t="shared" si="10"/>
        <v>43100</v>
      </c>
      <c r="B90" s="76">
        <f>B89+90</f>
        <v>43190</v>
      </c>
      <c r="D90" s="135">
        <f t="shared" si="12"/>
        <v>36000</v>
      </c>
      <c r="F90" s="135">
        <v>-4000</v>
      </c>
      <c r="G90" s="135">
        <f t="shared" si="13"/>
        <v>32000</v>
      </c>
      <c r="H90" s="163">
        <f t="shared" si="14"/>
        <v>0.15</v>
      </c>
      <c r="I90" s="139">
        <f t="shared" si="11"/>
        <v>1350</v>
      </c>
      <c r="J90" s="75">
        <f t="shared" si="15"/>
        <v>90</v>
      </c>
      <c r="L90" s="79"/>
    </row>
    <row r="91" spans="1:10" ht="12">
      <c r="A91" s="76">
        <f t="shared" si="10"/>
        <v>43190</v>
      </c>
      <c r="B91" s="76">
        <f>B90+92</f>
        <v>43282</v>
      </c>
      <c r="D91" s="135">
        <f t="shared" si="12"/>
        <v>32000</v>
      </c>
      <c r="G91" s="135">
        <f t="shared" si="13"/>
        <v>32000</v>
      </c>
      <c r="H91" s="163">
        <f t="shared" si="14"/>
        <v>0.15</v>
      </c>
      <c r="I91" s="139">
        <f t="shared" si="11"/>
        <v>1226.6666666666667</v>
      </c>
      <c r="J91" s="75">
        <f t="shared" si="15"/>
        <v>92</v>
      </c>
    </row>
    <row r="92" spans="1:10" ht="12">
      <c r="A92" s="76">
        <f t="shared" si="10"/>
        <v>43282</v>
      </c>
      <c r="B92" s="76">
        <f>B91+92</f>
        <v>43374</v>
      </c>
      <c r="D92" s="135">
        <f t="shared" si="12"/>
        <v>32000</v>
      </c>
      <c r="F92" s="135">
        <v>-4000</v>
      </c>
      <c r="G92" s="135">
        <f t="shared" si="13"/>
        <v>28000</v>
      </c>
      <c r="H92" s="163">
        <f t="shared" si="14"/>
        <v>0.15</v>
      </c>
      <c r="I92" s="139">
        <f t="shared" si="11"/>
        <v>1226.6666666666667</v>
      </c>
      <c r="J92" s="75">
        <f t="shared" si="15"/>
        <v>92</v>
      </c>
    </row>
    <row r="93" spans="1:10" s="166" customFormat="1" ht="12.75">
      <c r="A93" s="165">
        <f t="shared" si="10"/>
        <v>43374</v>
      </c>
      <c r="B93" s="165">
        <f>B92+91</f>
        <v>43465</v>
      </c>
      <c r="D93" s="152">
        <f t="shared" si="12"/>
        <v>28000</v>
      </c>
      <c r="E93" s="152"/>
      <c r="F93" s="135"/>
      <c r="G93" s="152">
        <f t="shared" si="13"/>
        <v>28000</v>
      </c>
      <c r="H93" s="167">
        <f t="shared" si="14"/>
        <v>0.15</v>
      </c>
      <c r="I93" s="152">
        <f t="shared" si="11"/>
        <v>1061.6666666666665</v>
      </c>
      <c r="J93" s="168">
        <f t="shared" si="15"/>
        <v>91</v>
      </c>
    </row>
    <row r="94" spans="1:10" ht="12">
      <c r="A94" s="76">
        <f t="shared" si="10"/>
        <v>43465</v>
      </c>
      <c r="B94" s="76">
        <f>B93+90</f>
        <v>43555</v>
      </c>
      <c r="D94" s="135">
        <f t="shared" si="12"/>
        <v>28000</v>
      </c>
      <c r="F94" s="135">
        <v>-4000</v>
      </c>
      <c r="G94" s="135">
        <f t="shared" si="13"/>
        <v>24000</v>
      </c>
      <c r="H94" s="163">
        <f t="shared" si="14"/>
        <v>0.15</v>
      </c>
      <c r="I94" s="139">
        <f t="shared" si="11"/>
        <v>1050</v>
      </c>
      <c r="J94" s="75">
        <f t="shared" si="15"/>
        <v>90</v>
      </c>
    </row>
    <row r="95" spans="1:10" ht="12">
      <c r="A95" s="76">
        <f t="shared" si="10"/>
        <v>43555</v>
      </c>
      <c r="B95" s="76">
        <f>B94+92</f>
        <v>43647</v>
      </c>
      <c r="D95" s="135">
        <f t="shared" si="12"/>
        <v>24000</v>
      </c>
      <c r="G95" s="135">
        <f t="shared" si="13"/>
        <v>24000</v>
      </c>
      <c r="H95" s="163">
        <f t="shared" si="14"/>
        <v>0.15</v>
      </c>
      <c r="I95" s="139">
        <f t="shared" si="11"/>
        <v>920</v>
      </c>
      <c r="J95" s="75">
        <f t="shared" si="15"/>
        <v>92</v>
      </c>
    </row>
    <row r="96" spans="1:10" s="166" customFormat="1" ht="12.75">
      <c r="A96" s="165">
        <f t="shared" si="10"/>
        <v>43647</v>
      </c>
      <c r="B96" s="165">
        <f>B95+92</f>
        <v>43739</v>
      </c>
      <c r="D96" s="152">
        <f>G95</f>
        <v>24000</v>
      </c>
      <c r="E96" s="152"/>
      <c r="F96" s="135">
        <v>-4000</v>
      </c>
      <c r="G96" s="152">
        <f>SUM(D96:F96)</f>
        <v>20000</v>
      </c>
      <c r="H96" s="167">
        <f>H95</f>
        <v>0.15</v>
      </c>
      <c r="I96" s="152">
        <f t="shared" si="11"/>
        <v>920</v>
      </c>
      <c r="J96" s="168">
        <f>B96-A96</f>
        <v>92</v>
      </c>
    </row>
    <row r="97" spans="1:10" ht="12">
      <c r="A97" s="76"/>
      <c r="B97" s="76"/>
      <c r="H97" s="132"/>
      <c r="I97" s="142"/>
      <c r="J97" s="78"/>
    </row>
    <row r="98" spans="1:12" ht="12.75">
      <c r="A98" s="141" t="s">
        <v>89</v>
      </c>
      <c r="B98" s="143">
        <v>2012</v>
      </c>
      <c r="C98" s="81"/>
      <c r="D98" s="138"/>
      <c r="E98" s="138"/>
      <c r="G98" s="138"/>
      <c r="H98" s="81"/>
      <c r="I98" s="139">
        <f>SUM(I78:I81)</f>
        <v>8514.999999999998</v>
      </c>
      <c r="J98" s="81"/>
      <c r="K98" s="81"/>
      <c r="L98" s="81"/>
    </row>
    <row r="99" spans="1:13" ht="12">
      <c r="A99" s="51"/>
      <c r="B99" s="143">
        <v>2013</v>
      </c>
      <c r="C99" s="102"/>
      <c r="D99" s="139"/>
      <c r="E99" s="139"/>
      <c r="F99" s="140"/>
      <c r="G99" s="140"/>
      <c r="H99" s="130"/>
      <c r="I99" s="139">
        <f>SUM(I82:I85)</f>
        <v>7298.333333333333</v>
      </c>
      <c r="J99" s="130"/>
      <c r="K99" s="130"/>
      <c r="L99" s="130"/>
      <c r="M99" s="129"/>
    </row>
    <row r="100" spans="2:9" ht="12">
      <c r="B100" s="143">
        <v>2014</v>
      </c>
      <c r="C100" s="131"/>
      <c r="I100" s="139">
        <f>SUM(I86:I89)</f>
        <v>6100</v>
      </c>
    </row>
    <row r="101" spans="2:9" ht="12">
      <c r="B101" s="143">
        <v>2015</v>
      </c>
      <c r="I101" s="139">
        <f>SUM(I90:I93)</f>
        <v>4865</v>
      </c>
    </row>
    <row r="102" spans="2:9" ht="12">
      <c r="B102" s="143">
        <v>2016</v>
      </c>
      <c r="I102" s="139">
        <f>SUM(I94:I96)</f>
        <v>2890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16"/>
  <sheetViews>
    <sheetView zoomScalePageLayoutView="0" workbookViewId="0" topLeftCell="H1">
      <selection activeCell="L10" sqref="L10"/>
    </sheetView>
  </sheetViews>
  <sheetFormatPr defaultColWidth="9.140625" defaultRowHeight="12.75"/>
  <cols>
    <col min="1" max="1" width="19.140625" style="0" bestFit="1" customWidth="1"/>
    <col min="2" max="2" width="12.421875" style="0" bestFit="1" customWidth="1"/>
    <col min="3" max="3" width="9.00390625" style="0" bestFit="1" customWidth="1"/>
    <col min="10" max="10" width="9.00390625" style="0" bestFit="1" customWidth="1"/>
  </cols>
  <sheetData>
    <row r="1" ht="12.75">
      <c r="A1" s="1" t="s">
        <v>111</v>
      </c>
    </row>
    <row r="3" spans="2:43" ht="12.75">
      <c r="B3" s="207">
        <v>42461</v>
      </c>
      <c r="C3" s="207">
        <v>42491</v>
      </c>
      <c r="D3" s="207">
        <v>42522</v>
      </c>
      <c r="E3" s="207">
        <v>42552</v>
      </c>
      <c r="F3" s="207">
        <v>42583</v>
      </c>
      <c r="G3" s="207">
        <v>42614</v>
      </c>
      <c r="H3" s="207">
        <v>42644</v>
      </c>
      <c r="I3" s="207">
        <v>42675</v>
      </c>
      <c r="J3" s="207">
        <v>42705</v>
      </c>
      <c r="K3" s="207">
        <v>42736</v>
      </c>
      <c r="L3" s="207">
        <v>42767</v>
      </c>
      <c r="M3" s="207">
        <v>42795</v>
      </c>
      <c r="N3" s="207">
        <v>42826</v>
      </c>
      <c r="O3" s="207">
        <v>42856</v>
      </c>
      <c r="P3" s="207">
        <v>42887</v>
      </c>
      <c r="Q3" s="207">
        <v>42917</v>
      </c>
      <c r="R3" s="207">
        <v>42948</v>
      </c>
      <c r="S3" s="207">
        <v>42979</v>
      </c>
      <c r="T3" s="207">
        <v>43009</v>
      </c>
      <c r="U3" s="207">
        <v>43040</v>
      </c>
      <c r="V3" s="207">
        <v>43070</v>
      </c>
      <c r="W3" s="207">
        <v>43101</v>
      </c>
      <c r="X3" s="207">
        <v>43132</v>
      </c>
      <c r="Y3" s="207">
        <v>43160</v>
      </c>
      <c r="Z3" s="207">
        <v>43191</v>
      </c>
      <c r="AA3" s="207">
        <v>43221</v>
      </c>
      <c r="AB3" s="207">
        <v>43252</v>
      </c>
      <c r="AC3" s="207">
        <v>43282</v>
      </c>
      <c r="AD3" s="207">
        <v>43313</v>
      </c>
      <c r="AE3" s="207">
        <v>43344</v>
      </c>
      <c r="AF3" s="207">
        <v>43374</v>
      </c>
      <c r="AG3" s="207">
        <v>43405</v>
      </c>
      <c r="AH3" s="207">
        <v>43435</v>
      </c>
      <c r="AI3" s="207">
        <v>43466</v>
      </c>
      <c r="AJ3" s="207">
        <v>43497</v>
      </c>
      <c r="AK3" s="207">
        <v>43525</v>
      </c>
      <c r="AL3" s="207">
        <v>43556</v>
      </c>
      <c r="AM3" s="207">
        <v>43586</v>
      </c>
      <c r="AN3" s="207">
        <v>43617</v>
      </c>
      <c r="AO3" s="207">
        <v>43647</v>
      </c>
      <c r="AP3" s="207">
        <v>43678</v>
      </c>
      <c r="AQ3" s="207">
        <v>43709</v>
      </c>
    </row>
    <row r="4" spans="1:43" s="195" customFormat="1" ht="12">
      <c r="A4" s="195" t="s">
        <v>112</v>
      </c>
      <c r="B4" s="195">
        <f>55000-B8</f>
        <v>55000</v>
      </c>
      <c r="C4" s="195">
        <f aca="true" t="shared" si="0" ref="C4:AQ4">55000-C8</f>
        <v>55000</v>
      </c>
      <c r="D4" s="195">
        <f t="shared" si="0"/>
        <v>55000</v>
      </c>
      <c r="E4" s="195">
        <f t="shared" si="0"/>
        <v>55000</v>
      </c>
      <c r="F4" s="195">
        <f t="shared" si="0"/>
        <v>55000</v>
      </c>
      <c r="G4" s="195">
        <f t="shared" si="0"/>
        <v>55000</v>
      </c>
      <c r="H4" s="195">
        <f t="shared" si="0"/>
        <v>55000</v>
      </c>
      <c r="I4" s="195">
        <f t="shared" si="0"/>
        <v>55000</v>
      </c>
      <c r="J4" s="195">
        <f t="shared" si="0"/>
        <v>45000</v>
      </c>
      <c r="K4" s="195">
        <f t="shared" si="0"/>
        <v>45000</v>
      </c>
      <c r="L4" s="195">
        <f t="shared" si="0"/>
        <v>45000</v>
      </c>
      <c r="M4" s="195">
        <f t="shared" si="0"/>
        <v>45000</v>
      </c>
      <c r="N4" s="195">
        <f t="shared" si="0"/>
        <v>45000</v>
      </c>
      <c r="O4" s="195">
        <f t="shared" si="0"/>
        <v>45000</v>
      </c>
      <c r="P4" s="195">
        <f t="shared" si="0"/>
        <v>45000</v>
      </c>
      <c r="Q4" s="195">
        <f t="shared" si="0"/>
        <v>45000</v>
      </c>
      <c r="R4" s="195">
        <f t="shared" si="0"/>
        <v>45000</v>
      </c>
      <c r="S4" s="195">
        <f t="shared" si="0"/>
        <v>45000</v>
      </c>
      <c r="T4" s="195">
        <f t="shared" si="0"/>
        <v>45000</v>
      </c>
      <c r="U4" s="195">
        <f t="shared" si="0"/>
        <v>45000</v>
      </c>
      <c r="V4" s="195">
        <f t="shared" si="0"/>
        <v>35000</v>
      </c>
      <c r="W4" s="195">
        <f t="shared" si="0"/>
        <v>35000</v>
      </c>
      <c r="X4" s="195">
        <f t="shared" si="0"/>
        <v>35000</v>
      </c>
      <c r="Y4" s="195">
        <f t="shared" si="0"/>
        <v>35000</v>
      </c>
      <c r="Z4" s="195">
        <f t="shared" si="0"/>
        <v>35000</v>
      </c>
      <c r="AA4" s="195">
        <f t="shared" si="0"/>
        <v>35000</v>
      </c>
      <c r="AB4" s="195">
        <f t="shared" si="0"/>
        <v>35000</v>
      </c>
      <c r="AC4" s="195">
        <f t="shared" si="0"/>
        <v>35000</v>
      </c>
      <c r="AD4" s="195">
        <f t="shared" si="0"/>
        <v>35000</v>
      </c>
      <c r="AE4" s="195">
        <f t="shared" si="0"/>
        <v>35000</v>
      </c>
      <c r="AF4" s="195">
        <f t="shared" si="0"/>
        <v>35000</v>
      </c>
      <c r="AG4" s="195">
        <f t="shared" si="0"/>
        <v>35000</v>
      </c>
      <c r="AH4" s="195">
        <f t="shared" si="0"/>
        <v>25000</v>
      </c>
      <c r="AI4" s="195">
        <f t="shared" si="0"/>
        <v>25000</v>
      </c>
      <c r="AJ4" s="195">
        <f t="shared" si="0"/>
        <v>25000</v>
      </c>
      <c r="AK4" s="195">
        <f t="shared" si="0"/>
        <v>25000</v>
      </c>
      <c r="AL4" s="195">
        <f t="shared" si="0"/>
        <v>25000</v>
      </c>
      <c r="AM4" s="195">
        <f t="shared" si="0"/>
        <v>25000</v>
      </c>
      <c r="AN4" s="195">
        <f t="shared" si="0"/>
        <v>25000</v>
      </c>
      <c r="AO4" s="195">
        <f t="shared" si="0"/>
        <v>25000</v>
      </c>
      <c r="AP4" s="195">
        <f t="shared" si="0"/>
        <v>25000</v>
      </c>
      <c r="AQ4" s="195">
        <f t="shared" si="0"/>
        <v>0</v>
      </c>
    </row>
    <row r="5" spans="1:43" s="195" customFormat="1" ht="12">
      <c r="A5" s="195" t="s">
        <v>113</v>
      </c>
      <c r="B5" s="195">
        <v>0</v>
      </c>
      <c r="C5" s="195">
        <f>B8</f>
        <v>0</v>
      </c>
      <c r="D5" s="195">
        <f aca="true" t="shared" si="1" ref="D5:AH5">C8</f>
        <v>0</v>
      </c>
      <c r="E5" s="195">
        <f t="shared" si="1"/>
        <v>0</v>
      </c>
      <c r="F5" s="195">
        <f t="shared" si="1"/>
        <v>0</v>
      </c>
      <c r="G5" s="195">
        <f t="shared" si="1"/>
        <v>0</v>
      </c>
      <c r="H5" s="195">
        <f t="shared" si="1"/>
        <v>0</v>
      </c>
      <c r="I5" s="195">
        <f t="shared" si="1"/>
        <v>0</v>
      </c>
      <c r="J5" s="195">
        <f t="shared" si="1"/>
        <v>0</v>
      </c>
      <c r="K5" s="195">
        <f t="shared" si="1"/>
        <v>10000</v>
      </c>
      <c r="L5" s="195">
        <f t="shared" si="1"/>
        <v>10000</v>
      </c>
      <c r="M5" s="195">
        <f t="shared" si="1"/>
        <v>10000</v>
      </c>
      <c r="N5" s="195">
        <f t="shared" si="1"/>
        <v>10000</v>
      </c>
      <c r="O5" s="195">
        <f t="shared" si="1"/>
        <v>10000</v>
      </c>
      <c r="P5" s="195">
        <f t="shared" si="1"/>
        <v>10000</v>
      </c>
      <c r="Q5" s="195">
        <f t="shared" si="1"/>
        <v>10000</v>
      </c>
      <c r="R5" s="195">
        <f t="shared" si="1"/>
        <v>10000</v>
      </c>
      <c r="S5" s="195">
        <f t="shared" si="1"/>
        <v>10000</v>
      </c>
      <c r="T5" s="195">
        <f t="shared" si="1"/>
        <v>10000</v>
      </c>
      <c r="U5" s="195">
        <f t="shared" si="1"/>
        <v>10000</v>
      </c>
      <c r="V5" s="195">
        <f t="shared" si="1"/>
        <v>10000</v>
      </c>
      <c r="W5" s="195">
        <f t="shared" si="1"/>
        <v>20000</v>
      </c>
      <c r="X5" s="195">
        <f t="shared" si="1"/>
        <v>20000</v>
      </c>
      <c r="Y5" s="195">
        <f t="shared" si="1"/>
        <v>20000</v>
      </c>
      <c r="Z5" s="195">
        <f t="shared" si="1"/>
        <v>20000</v>
      </c>
      <c r="AA5" s="195">
        <f t="shared" si="1"/>
        <v>20000</v>
      </c>
      <c r="AB5" s="195">
        <f t="shared" si="1"/>
        <v>20000</v>
      </c>
      <c r="AC5" s="195">
        <f t="shared" si="1"/>
        <v>20000</v>
      </c>
      <c r="AD5" s="195">
        <f t="shared" si="1"/>
        <v>20000</v>
      </c>
      <c r="AE5" s="195">
        <f t="shared" si="1"/>
        <v>20000</v>
      </c>
      <c r="AF5" s="195">
        <f t="shared" si="1"/>
        <v>20000</v>
      </c>
      <c r="AG5" s="195">
        <f t="shared" si="1"/>
        <v>20000</v>
      </c>
      <c r="AH5" s="195">
        <f t="shared" si="1"/>
        <v>20000</v>
      </c>
      <c r="AI5" s="195">
        <f aca="true" t="shared" si="2" ref="AI5:AQ5">AH8</f>
        <v>30000</v>
      </c>
      <c r="AJ5" s="195">
        <f t="shared" si="2"/>
        <v>30000</v>
      </c>
      <c r="AK5" s="195">
        <f t="shared" si="2"/>
        <v>30000</v>
      </c>
      <c r="AL5" s="195">
        <f t="shared" si="2"/>
        <v>30000</v>
      </c>
      <c r="AM5" s="195">
        <f t="shared" si="2"/>
        <v>30000</v>
      </c>
      <c r="AN5" s="195">
        <f t="shared" si="2"/>
        <v>30000</v>
      </c>
      <c r="AO5" s="195">
        <f t="shared" si="2"/>
        <v>30000</v>
      </c>
      <c r="AP5" s="195">
        <f t="shared" si="2"/>
        <v>30000</v>
      </c>
      <c r="AQ5" s="195">
        <f t="shared" si="2"/>
        <v>30000</v>
      </c>
    </row>
    <row r="6" spans="1:43" s="195" customFormat="1" ht="12">
      <c r="A6" s="195" t="s">
        <v>114</v>
      </c>
      <c r="B6" s="195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10000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10000</v>
      </c>
      <c r="W6" s="195">
        <v>0</v>
      </c>
      <c r="X6" s="195">
        <v>0</v>
      </c>
      <c r="Y6" s="195">
        <v>0</v>
      </c>
      <c r="Z6" s="195">
        <v>0</v>
      </c>
      <c r="AA6" s="195">
        <v>0</v>
      </c>
      <c r="AB6" s="195">
        <v>0</v>
      </c>
      <c r="AC6" s="195">
        <v>0</v>
      </c>
      <c r="AD6" s="195">
        <v>0</v>
      </c>
      <c r="AE6" s="195">
        <v>0</v>
      </c>
      <c r="AF6" s="195">
        <v>0</v>
      </c>
      <c r="AG6" s="195">
        <v>0</v>
      </c>
      <c r="AH6" s="195">
        <v>10000</v>
      </c>
      <c r="AI6" s="195">
        <v>0</v>
      </c>
      <c r="AJ6" s="195">
        <v>0</v>
      </c>
      <c r="AK6" s="195">
        <v>0</v>
      </c>
      <c r="AL6" s="195">
        <v>0</v>
      </c>
      <c r="AM6" s="195">
        <v>0</v>
      </c>
      <c r="AN6" s="195">
        <v>0</v>
      </c>
      <c r="AO6" s="195">
        <v>0</v>
      </c>
      <c r="AP6" s="195">
        <v>0</v>
      </c>
      <c r="AQ6" s="195">
        <v>25000</v>
      </c>
    </row>
    <row r="7" spans="1:43" s="195" customFormat="1" ht="12">
      <c r="A7" s="195" t="s">
        <v>115</v>
      </c>
      <c r="B7" s="195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5">
        <v>0</v>
      </c>
      <c r="AA7" s="195">
        <v>0</v>
      </c>
      <c r="AB7" s="195">
        <v>0</v>
      </c>
      <c r="AC7" s="195">
        <v>0</v>
      </c>
      <c r="AD7" s="195">
        <v>0</v>
      </c>
      <c r="AE7" s="195">
        <v>0</v>
      </c>
      <c r="AF7" s="195">
        <v>0</v>
      </c>
      <c r="AG7" s="195">
        <v>0</v>
      </c>
      <c r="AH7" s="195">
        <v>0</v>
      </c>
      <c r="AI7" s="195">
        <v>0</v>
      </c>
      <c r="AJ7" s="195">
        <v>0</v>
      </c>
      <c r="AK7" s="195">
        <v>0</v>
      </c>
      <c r="AL7" s="195">
        <v>0</v>
      </c>
      <c r="AM7" s="195">
        <v>0</v>
      </c>
      <c r="AN7" s="195">
        <v>0</v>
      </c>
      <c r="AO7" s="195">
        <v>0</v>
      </c>
      <c r="AP7" s="195">
        <v>0</v>
      </c>
      <c r="AQ7" s="195">
        <v>0</v>
      </c>
    </row>
    <row r="8" spans="1:43" s="195" customFormat="1" ht="12">
      <c r="A8" s="195" t="s">
        <v>82</v>
      </c>
      <c r="B8" s="195">
        <f>B5+B6-B7</f>
        <v>0</v>
      </c>
      <c r="C8" s="195">
        <f aca="true" t="shared" si="3" ref="C8:AH8">C5+C6-C7</f>
        <v>0</v>
      </c>
      <c r="D8" s="195">
        <f t="shared" si="3"/>
        <v>0</v>
      </c>
      <c r="E8" s="195">
        <f t="shared" si="3"/>
        <v>0</v>
      </c>
      <c r="F8" s="195">
        <f t="shared" si="3"/>
        <v>0</v>
      </c>
      <c r="G8" s="195">
        <f t="shared" si="3"/>
        <v>0</v>
      </c>
      <c r="H8" s="195">
        <f t="shared" si="3"/>
        <v>0</v>
      </c>
      <c r="I8" s="195">
        <f t="shared" si="3"/>
        <v>0</v>
      </c>
      <c r="J8" s="195">
        <f t="shared" si="3"/>
        <v>10000</v>
      </c>
      <c r="K8" s="195">
        <f t="shared" si="3"/>
        <v>10000</v>
      </c>
      <c r="L8" s="195">
        <f t="shared" si="3"/>
        <v>10000</v>
      </c>
      <c r="M8" s="195">
        <f t="shared" si="3"/>
        <v>10000</v>
      </c>
      <c r="N8" s="195">
        <f t="shared" si="3"/>
        <v>10000</v>
      </c>
      <c r="O8" s="195">
        <f t="shared" si="3"/>
        <v>10000</v>
      </c>
      <c r="P8" s="195">
        <f t="shared" si="3"/>
        <v>10000</v>
      </c>
      <c r="Q8" s="195">
        <f t="shared" si="3"/>
        <v>10000</v>
      </c>
      <c r="R8" s="195">
        <f t="shared" si="3"/>
        <v>10000</v>
      </c>
      <c r="S8" s="195">
        <f t="shared" si="3"/>
        <v>10000</v>
      </c>
      <c r="T8" s="195">
        <f t="shared" si="3"/>
        <v>10000</v>
      </c>
      <c r="U8" s="195">
        <f t="shared" si="3"/>
        <v>10000</v>
      </c>
      <c r="V8" s="195">
        <f t="shared" si="3"/>
        <v>20000</v>
      </c>
      <c r="W8" s="195">
        <f t="shared" si="3"/>
        <v>20000</v>
      </c>
      <c r="X8" s="195">
        <f t="shared" si="3"/>
        <v>20000</v>
      </c>
      <c r="Y8" s="195">
        <f t="shared" si="3"/>
        <v>20000</v>
      </c>
      <c r="Z8" s="195">
        <f t="shared" si="3"/>
        <v>20000</v>
      </c>
      <c r="AA8" s="195">
        <f t="shared" si="3"/>
        <v>20000</v>
      </c>
      <c r="AB8" s="195">
        <f t="shared" si="3"/>
        <v>20000</v>
      </c>
      <c r="AC8" s="195">
        <f t="shared" si="3"/>
        <v>20000</v>
      </c>
      <c r="AD8" s="195">
        <f t="shared" si="3"/>
        <v>20000</v>
      </c>
      <c r="AE8" s="195">
        <f t="shared" si="3"/>
        <v>20000</v>
      </c>
      <c r="AF8" s="195">
        <f t="shared" si="3"/>
        <v>20000</v>
      </c>
      <c r="AG8" s="195">
        <f t="shared" si="3"/>
        <v>20000</v>
      </c>
      <c r="AH8" s="195">
        <f t="shared" si="3"/>
        <v>30000</v>
      </c>
      <c r="AI8" s="195">
        <f aca="true" t="shared" si="4" ref="AI8:AQ8">AI5+AI6-AI7</f>
        <v>30000</v>
      </c>
      <c r="AJ8" s="195">
        <f t="shared" si="4"/>
        <v>30000</v>
      </c>
      <c r="AK8" s="195">
        <f t="shared" si="4"/>
        <v>30000</v>
      </c>
      <c r="AL8" s="195">
        <f t="shared" si="4"/>
        <v>30000</v>
      </c>
      <c r="AM8" s="195">
        <f t="shared" si="4"/>
        <v>30000</v>
      </c>
      <c r="AN8" s="195">
        <f t="shared" si="4"/>
        <v>30000</v>
      </c>
      <c r="AO8" s="195">
        <f t="shared" si="4"/>
        <v>30000</v>
      </c>
      <c r="AP8" s="195">
        <f t="shared" si="4"/>
        <v>30000</v>
      </c>
      <c r="AQ8" s="195">
        <f t="shared" si="4"/>
        <v>55000</v>
      </c>
    </row>
    <row r="9" spans="1:43" s="195" customFormat="1" ht="12">
      <c r="A9" s="195" t="s">
        <v>79</v>
      </c>
      <c r="B9" s="195">
        <f>B5*B15/12</f>
        <v>0</v>
      </c>
      <c r="C9" s="195">
        <f aca="true" t="shared" si="5" ref="C9:AQ9">C5*C15/12</f>
        <v>0</v>
      </c>
      <c r="D9" s="195">
        <f t="shared" si="5"/>
        <v>0</v>
      </c>
      <c r="E9" s="195">
        <f t="shared" si="5"/>
        <v>0</v>
      </c>
      <c r="F9" s="195">
        <f t="shared" si="5"/>
        <v>0</v>
      </c>
      <c r="G9" s="195">
        <f t="shared" si="5"/>
        <v>0</v>
      </c>
      <c r="H9" s="195">
        <f t="shared" si="5"/>
        <v>0</v>
      </c>
      <c r="I9" s="195">
        <f t="shared" si="5"/>
        <v>0</v>
      </c>
      <c r="J9" s="195">
        <f>J5*J15/12</f>
        <v>0</v>
      </c>
      <c r="K9" s="195">
        <f t="shared" si="5"/>
        <v>37.48916666666667</v>
      </c>
      <c r="L9" s="195">
        <f t="shared" si="5"/>
        <v>37.788333333333334</v>
      </c>
      <c r="M9" s="195">
        <f t="shared" si="5"/>
        <v>38.27333333333333</v>
      </c>
      <c r="N9" s="195">
        <f t="shared" si="5"/>
        <v>38.748333333333335</v>
      </c>
      <c r="O9" s="195">
        <f t="shared" si="5"/>
        <v>38.9475</v>
      </c>
      <c r="P9" s="195">
        <f t="shared" si="5"/>
        <v>39.3175</v>
      </c>
      <c r="Q9" s="195">
        <f t="shared" si="5"/>
        <v>40.005833333333335</v>
      </c>
      <c r="R9" s="195">
        <f t="shared" si="5"/>
        <v>40.08833333333333</v>
      </c>
      <c r="S9" s="195">
        <f t="shared" si="5"/>
        <v>40.134166666666665</v>
      </c>
      <c r="T9" s="195">
        <f t="shared" si="5"/>
        <v>40.296666666666674</v>
      </c>
      <c r="U9" s="195">
        <f t="shared" si="5"/>
        <v>40.70666666666667</v>
      </c>
      <c r="V9" s="195">
        <f t="shared" si="5"/>
        <v>41.62166666666667</v>
      </c>
      <c r="W9" s="195">
        <f t="shared" si="5"/>
        <v>86.61500000000001</v>
      </c>
      <c r="X9" s="195">
        <f t="shared" si="5"/>
        <v>88.11666666666667</v>
      </c>
      <c r="Y9" s="195">
        <f t="shared" si="5"/>
        <v>92.07666666666667</v>
      </c>
      <c r="Z9" s="195">
        <f t="shared" si="5"/>
        <v>97.01333333333334</v>
      </c>
      <c r="AA9" s="195">
        <f t="shared" si="5"/>
        <v>97.56333333333335</v>
      </c>
      <c r="AB9" s="195">
        <f t="shared" si="5"/>
        <v>96.96333333333335</v>
      </c>
      <c r="AC9" s="195">
        <f t="shared" si="5"/>
        <v>97.375</v>
      </c>
      <c r="AD9" s="195">
        <f t="shared" si="5"/>
        <v>97.47166666666668</v>
      </c>
      <c r="AE9" s="195">
        <f t="shared" si="5"/>
        <v>96.92666666666666</v>
      </c>
      <c r="AF9" s="195">
        <f t="shared" si="5"/>
        <v>98.30166666666668</v>
      </c>
      <c r="AG9" s="195">
        <f t="shared" si="5"/>
        <v>101.35833333333335</v>
      </c>
      <c r="AH9" s="195">
        <f t="shared" si="5"/>
        <v>104.18833333333333</v>
      </c>
      <c r="AI9" s="195">
        <f t="shared" si="5"/>
        <v>157.3475</v>
      </c>
      <c r="AJ9" s="195">
        <f t="shared" si="5"/>
        <v>155.81500000000003</v>
      </c>
      <c r="AK9" s="195">
        <f t="shared" si="5"/>
        <v>152.4625</v>
      </c>
      <c r="AL9" s="195">
        <f t="shared" si="5"/>
        <v>152.38750000000002</v>
      </c>
      <c r="AM9" s="195">
        <f t="shared" si="5"/>
        <v>151.88750000000002</v>
      </c>
      <c r="AN9" s="195">
        <f t="shared" si="5"/>
        <v>149.4625</v>
      </c>
      <c r="AO9" s="195">
        <f t="shared" si="5"/>
        <v>145.7975</v>
      </c>
      <c r="AP9" s="195">
        <f t="shared" si="5"/>
        <v>144.67000000000002</v>
      </c>
      <c r="AQ9" s="195">
        <f t="shared" si="5"/>
        <v>140.82000000000002</v>
      </c>
    </row>
    <row r="10" spans="1:43" s="195" customFormat="1" ht="12">
      <c r="A10" s="195" t="s">
        <v>116</v>
      </c>
      <c r="B10" s="195">
        <f>B4*B16/12</f>
        <v>11.458333333333334</v>
      </c>
      <c r="C10" s="195">
        <f aca="true" t="shared" si="6" ref="C10:J10">C4*C16/12</f>
        <v>11.458333333333334</v>
      </c>
      <c r="D10" s="195">
        <f t="shared" si="6"/>
        <v>11.458333333333334</v>
      </c>
      <c r="E10" s="195">
        <f t="shared" si="6"/>
        <v>11.458333333333334</v>
      </c>
      <c r="F10" s="195">
        <f t="shared" si="6"/>
        <v>11.458333333333334</v>
      </c>
      <c r="G10" s="195">
        <f t="shared" si="6"/>
        <v>11.458333333333334</v>
      </c>
      <c r="H10" s="195">
        <f t="shared" si="6"/>
        <v>11.458333333333334</v>
      </c>
      <c r="I10" s="195">
        <f t="shared" si="6"/>
        <v>11.458333333333334</v>
      </c>
      <c r="J10" s="195">
        <f t="shared" si="6"/>
        <v>9.375</v>
      </c>
      <c r="K10" s="195">
        <f>K4*K16/12</f>
        <v>9.375</v>
      </c>
      <c r="L10" s="195">
        <f aca="true" t="shared" si="7" ref="L10:AQ10">L4*L16/12</f>
        <v>9.375</v>
      </c>
      <c r="M10" s="195">
        <f t="shared" si="7"/>
        <v>9.375</v>
      </c>
      <c r="N10" s="195">
        <f t="shared" si="7"/>
        <v>9.375</v>
      </c>
      <c r="O10" s="195">
        <f t="shared" si="7"/>
        <v>9.375</v>
      </c>
      <c r="P10" s="195">
        <f t="shared" si="7"/>
        <v>9.375</v>
      </c>
      <c r="Q10" s="195">
        <f t="shared" si="7"/>
        <v>9.375</v>
      </c>
      <c r="R10" s="195">
        <f t="shared" si="7"/>
        <v>9.375</v>
      </c>
      <c r="S10" s="195">
        <f t="shared" si="7"/>
        <v>9.375</v>
      </c>
      <c r="T10" s="195">
        <f t="shared" si="7"/>
        <v>9.375</v>
      </c>
      <c r="U10" s="195">
        <f t="shared" si="7"/>
        <v>9.375</v>
      </c>
      <c r="V10" s="195">
        <f t="shared" si="7"/>
        <v>7.291666666666667</v>
      </c>
      <c r="W10" s="195">
        <f t="shared" si="7"/>
        <v>7.291666666666667</v>
      </c>
      <c r="X10" s="195">
        <f t="shared" si="7"/>
        <v>7.291666666666667</v>
      </c>
      <c r="Y10" s="195">
        <f t="shared" si="7"/>
        <v>7.291666666666667</v>
      </c>
      <c r="Z10" s="195">
        <f t="shared" si="7"/>
        <v>7.291666666666667</v>
      </c>
      <c r="AA10" s="195">
        <f t="shared" si="7"/>
        <v>7.291666666666667</v>
      </c>
      <c r="AB10" s="195">
        <f t="shared" si="7"/>
        <v>7.291666666666667</v>
      </c>
      <c r="AC10" s="195">
        <f t="shared" si="7"/>
        <v>7.291666666666667</v>
      </c>
      <c r="AD10" s="195">
        <f t="shared" si="7"/>
        <v>7.291666666666667</v>
      </c>
      <c r="AE10" s="195">
        <f t="shared" si="7"/>
        <v>7.291666666666667</v>
      </c>
      <c r="AF10" s="195">
        <f t="shared" si="7"/>
        <v>7.291666666666667</v>
      </c>
      <c r="AG10" s="195">
        <f t="shared" si="7"/>
        <v>7.291666666666667</v>
      </c>
      <c r="AH10" s="195">
        <f t="shared" si="7"/>
        <v>5.208333333333333</v>
      </c>
      <c r="AI10" s="195">
        <f t="shared" si="7"/>
        <v>5.208333333333333</v>
      </c>
      <c r="AJ10" s="195">
        <f t="shared" si="7"/>
        <v>5.208333333333333</v>
      </c>
      <c r="AK10" s="195">
        <f t="shared" si="7"/>
        <v>5.208333333333333</v>
      </c>
      <c r="AL10" s="195">
        <f t="shared" si="7"/>
        <v>5.208333333333333</v>
      </c>
      <c r="AM10" s="195">
        <f t="shared" si="7"/>
        <v>5.208333333333333</v>
      </c>
      <c r="AN10" s="195">
        <f t="shared" si="7"/>
        <v>5.208333333333333</v>
      </c>
      <c r="AO10" s="195">
        <f t="shared" si="7"/>
        <v>5.208333333333333</v>
      </c>
      <c r="AP10" s="195">
        <f t="shared" si="7"/>
        <v>5.208333333333333</v>
      </c>
      <c r="AQ10" s="195">
        <f t="shared" si="7"/>
        <v>0</v>
      </c>
    </row>
    <row r="11" spans="1:43" ht="12">
      <c r="A11" s="195" t="s">
        <v>117</v>
      </c>
      <c r="B11">
        <f>B9+B10</f>
        <v>11.458333333333334</v>
      </c>
      <c r="C11">
        <f aca="true" t="shared" si="8" ref="C11:AH11">C9+C10</f>
        <v>11.458333333333334</v>
      </c>
      <c r="D11">
        <f t="shared" si="8"/>
        <v>11.458333333333334</v>
      </c>
      <c r="E11">
        <f t="shared" si="8"/>
        <v>11.458333333333334</v>
      </c>
      <c r="F11">
        <f t="shared" si="8"/>
        <v>11.458333333333334</v>
      </c>
      <c r="G11">
        <f t="shared" si="8"/>
        <v>11.458333333333334</v>
      </c>
      <c r="H11">
        <f t="shared" si="8"/>
        <v>11.458333333333334</v>
      </c>
      <c r="I11">
        <f t="shared" si="8"/>
        <v>11.458333333333334</v>
      </c>
      <c r="J11">
        <f t="shared" si="8"/>
        <v>9.375</v>
      </c>
      <c r="K11">
        <f t="shared" si="8"/>
        <v>46.86416666666667</v>
      </c>
      <c r="L11">
        <f t="shared" si="8"/>
        <v>47.163333333333334</v>
      </c>
      <c r="M11">
        <f t="shared" si="8"/>
        <v>47.64833333333333</v>
      </c>
      <c r="N11">
        <f t="shared" si="8"/>
        <v>48.123333333333335</v>
      </c>
      <c r="O11">
        <f t="shared" si="8"/>
        <v>48.3225</v>
      </c>
      <c r="P11">
        <f t="shared" si="8"/>
        <v>48.6925</v>
      </c>
      <c r="Q11">
        <f t="shared" si="8"/>
        <v>49.380833333333335</v>
      </c>
      <c r="R11">
        <f t="shared" si="8"/>
        <v>49.46333333333333</v>
      </c>
      <c r="S11">
        <f t="shared" si="8"/>
        <v>49.509166666666665</v>
      </c>
      <c r="T11">
        <f t="shared" si="8"/>
        <v>49.671666666666674</v>
      </c>
      <c r="U11">
        <f t="shared" si="8"/>
        <v>50.08166666666667</v>
      </c>
      <c r="V11">
        <f t="shared" si="8"/>
        <v>48.913333333333334</v>
      </c>
      <c r="W11">
        <f t="shared" si="8"/>
        <v>93.90666666666668</v>
      </c>
      <c r="X11">
        <f t="shared" si="8"/>
        <v>95.40833333333335</v>
      </c>
      <c r="Y11">
        <f t="shared" si="8"/>
        <v>99.36833333333334</v>
      </c>
      <c r="Z11">
        <f t="shared" si="8"/>
        <v>104.305</v>
      </c>
      <c r="AA11">
        <f t="shared" si="8"/>
        <v>104.85500000000002</v>
      </c>
      <c r="AB11">
        <f t="shared" si="8"/>
        <v>104.25500000000002</v>
      </c>
      <c r="AC11">
        <f t="shared" si="8"/>
        <v>104.66666666666667</v>
      </c>
      <c r="AD11">
        <f t="shared" si="8"/>
        <v>104.76333333333335</v>
      </c>
      <c r="AE11">
        <f t="shared" si="8"/>
        <v>104.21833333333333</v>
      </c>
      <c r="AF11">
        <f t="shared" si="8"/>
        <v>105.59333333333335</v>
      </c>
      <c r="AG11">
        <f t="shared" si="8"/>
        <v>108.65000000000002</v>
      </c>
      <c r="AH11">
        <f t="shared" si="8"/>
        <v>109.39666666666666</v>
      </c>
      <c r="AI11">
        <f aca="true" t="shared" si="9" ref="AI11:AQ11">AI9+AI10</f>
        <v>162.55583333333334</v>
      </c>
      <c r="AJ11">
        <f t="shared" si="9"/>
        <v>161.02333333333337</v>
      </c>
      <c r="AK11">
        <f t="shared" si="9"/>
        <v>157.67083333333335</v>
      </c>
      <c r="AL11">
        <f t="shared" si="9"/>
        <v>157.59583333333336</v>
      </c>
      <c r="AM11">
        <f t="shared" si="9"/>
        <v>157.09583333333336</v>
      </c>
      <c r="AN11">
        <f t="shared" si="9"/>
        <v>154.67083333333335</v>
      </c>
      <c r="AO11">
        <f t="shared" si="9"/>
        <v>151.00583333333336</v>
      </c>
      <c r="AP11">
        <f t="shared" si="9"/>
        <v>149.87833333333336</v>
      </c>
      <c r="AQ11">
        <f t="shared" si="9"/>
        <v>140.82000000000002</v>
      </c>
    </row>
    <row r="12" spans="1:43" ht="14.25">
      <c r="A12" s="195"/>
      <c r="J12" s="196">
        <f>SUM(B11:J11)</f>
        <v>101.04166666666666</v>
      </c>
      <c r="V12" s="196">
        <f>SUM(K10:V11)</f>
        <v>694.2508333333333</v>
      </c>
      <c r="AH12" s="196">
        <f>SUM(W11:AH11)</f>
        <v>1239.386666666667</v>
      </c>
      <c r="AQ12" s="1">
        <f>SUM(AI11:AQ11)</f>
        <v>1392.3166666666668</v>
      </c>
    </row>
    <row r="14" spans="1:43" ht="12">
      <c r="A14" t="s">
        <v>118</v>
      </c>
      <c r="J14" s="197">
        <v>0.009417</v>
      </c>
      <c r="K14" s="197">
        <v>0.009987</v>
      </c>
      <c r="L14" s="197">
        <v>0.010346</v>
      </c>
      <c r="M14" s="197">
        <v>0.010928</v>
      </c>
      <c r="N14" s="197">
        <v>0.011498</v>
      </c>
      <c r="O14" s="197">
        <v>0.011737</v>
      </c>
      <c r="P14" s="197">
        <v>0.012181</v>
      </c>
      <c r="Q14" s="197">
        <v>0.013007</v>
      </c>
      <c r="R14" s="197">
        <v>0.013106</v>
      </c>
      <c r="S14" s="197">
        <v>0.013161</v>
      </c>
      <c r="T14" s="197">
        <v>0.013356</v>
      </c>
      <c r="U14" s="197">
        <v>0.013848</v>
      </c>
      <c r="V14" s="197">
        <v>0.014946</v>
      </c>
      <c r="W14" s="197">
        <v>0.016969</v>
      </c>
      <c r="X14" s="197">
        <v>0.01787</v>
      </c>
      <c r="Y14" s="197">
        <v>0.020246</v>
      </c>
      <c r="Z14" s="197">
        <v>0.023208</v>
      </c>
      <c r="AA14" s="197">
        <v>0.023538</v>
      </c>
      <c r="AB14" s="197">
        <v>0.023178</v>
      </c>
      <c r="AC14" s="197">
        <v>0.023425</v>
      </c>
      <c r="AD14" s="197">
        <v>0.023483</v>
      </c>
      <c r="AE14" s="197">
        <v>0.023156</v>
      </c>
      <c r="AF14" s="197">
        <v>0.023981</v>
      </c>
      <c r="AG14" s="197">
        <v>0.025815</v>
      </c>
      <c r="AH14" s="197">
        <v>0.027513</v>
      </c>
      <c r="AI14" s="197">
        <v>0.027939</v>
      </c>
      <c r="AJ14" s="197">
        <v>0.027326</v>
      </c>
      <c r="AK14" s="197">
        <v>0.025985</v>
      </c>
      <c r="AL14" s="197">
        <v>0.025955</v>
      </c>
      <c r="AM14" s="197">
        <v>0.025755</v>
      </c>
      <c r="AN14" s="197">
        <v>0.024785</v>
      </c>
      <c r="AO14" s="197">
        <v>0.023319</v>
      </c>
      <c r="AP14" s="197">
        <v>0.022868</v>
      </c>
      <c r="AQ14" s="197">
        <v>0.021328</v>
      </c>
    </row>
    <row r="15" spans="1:43" ht="12">
      <c r="A15" t="s">
        <v>119</v>
      </c>
      <c r="J15" s="198">
        <f>3.5%+J14</f>
        <v>0.044417000000000005</v>
      </c>
      <c r="K15" s="198">
        <f aca="true" t="shared" si="10" ref="K15:AQ15">3.5%+K14</f>
        <v>0.044987</v>
      </c>
      <c r="L15" s="198">
        <f t="shared" si="10"/>
        <v>0.045346000000000004</v>
      </c>
      <c r="M15" s="198">
        <f t="shared" si="10"/>
        <v>0.045928000000000004</v>
      </c>
      <c r="N15" s="198">
        <f t="shared" si="10"/>
        <v>0.046498000000000005</v>
      </c>
      <c r="O15" s="198">
        <f t="shared" si="10"/>
        <v>0.046737</v>
      </c>
      <c r="P15" s="198">
        <f t="shared" si="10"/>
        <v>0.047181</v>
      </c>
      <c r="Q15" s="198">
        <f t="shared" si="10"/>
        <v>0.048007</v>
      </c>
      <c r="R15" s="198">
        <f t="shared" si="10"/>
        <v>0.048106</v>
      </c>
      <c r="S15" s="198">
        <f t="shared" si="10"/>
        <v>0.048161</v>
      </c>
      <c r="T15" s="198">
        <f t="shared" si="10"/>
        <v>0.048356</v>
      </c>
      <c r="U15" s="198">
        <f t="shared" si="10"/>
        <v>0.048848</v>
      </c>
      <c r="V15" s="198">
        <f t="shared" si="10"/>
        <v>0.049946000000000004</v>
      </c>
      <c r="W15" s="198">
        <f t="shared" si="10"/>
        <v>0.051969</v>
      </c>
      <c r="X15" s="198">
        <f t="shared" si="10"/>
        <v>0.05287</v>
      </c>
      <c r="Y15" s="198">
        <f t="shared" si="10"/>
        <v>0.055246</v>
      </c>
      <c r="Z15" s="198">
        <f t="shared" si="10"/>
        <v>0.058208</v>
      </c>
      <c r="AA15" s="198">
        <f t="shared" si="10"/>
        <v>0.05853800000000001</v>
      </c>
      <c r="AB15" s="198">
        <f t="shared" si="10"/>
        <v>0.05817800000000001</v>
      </c>
      <c r="AC15" s="198">
        <f t="shared" si="10"/>
        <v>0.058425000000000005</v>
      </c>
      <c r="AD15" s="198">
        <f t="shared" si="10"/>
        <v>0.05848300000000001</v>
      </c>
      <c r="AE15" s="198">
        <f t="shared" si="10"/>
        <v>0.058156</v>
      </c>
      <c r="AF15" s="198">
        <f t="shared" si="10"/>
        <v>0.058981000000000006</v>
      </c>
      <c r="AG15" s="198">
        <f t="shared" si="10"/>
        <v>0.06081500000000001</v>
      </c>
      <c r="AH15" s="198">
        <f t="shared" si="10"/>
        <v>0.062513</v>
      </c>
      <c r="AI15" s="198">
        <f t="shared" si="10"/>
        <v>0.062939</v>
      </c>
      <c r="AJ15" s="198">
        <f t="shared" si="10"/>
        <v>0.062326000000000006</v>
      </c>
      <c r="AK15" s="198">
        <f t="shared" si="10"/>
        <v>0.060985000000000004</v>
      </c>
      <c r="AL15" s="198">
        <f t="shared" si="10"/>
        <v>0.060955</v>
      </c>
      <c r="AM15" s="198">
        <f t="shared" si="10"/>
        <v>0.060755</v>
      </c>
      <c r="AN15" s="198">
        <f t="shared" si="10"/>
        <v>0.059785000000000005</v>
      </c>
      <c r="AO15" s="198">
        <f t="shared" si="10"/>
        <v>0.058319</v>
      </c>
      <c r="AP15" s="198">
        <f t="shared" si="10"/>
        <v>0.057868</v>
      </c>
      <c r="AQ15" s="198">
        <f t="shared" si="10"/>
        <v>0.056328</v>
      </c>
    </row>
    <row r="16" spans="1:43" ht="12">
      <c r="A16" t="s">
        <v>120</v>
      </c>
      <c r="B16" s="199">
        <f>0.0025</f>
        <v>0.0025</v>
      </c>
      <c r="C16" s="199">
        <f aca="true" t="shared" si="11" ref="C16:AQ16">0.0025</f>
        <v>0.0025</v>
      </c>
      <c r="D16" s="199">
        <f t="shared" si="11"/>
        <v>0.0025</v>
      </c>
      <c r="E16" s="199">
        <f t="shared" si="11"/>
        <v>0.0025</v>
      </c>
      <c r="F16" s="199">
        <f t="shared" si="11"/>
        <v>0.0025</v>
      </c>
      <c r="G16" s="199">
        <f t="shared" si="11"/>
        <v>0.0025</v>
      </c>
      <c r="H16" s="199">
        <f t="shared" si="11"/>
        <v>0.0025</v>
      </c>
      <c r="I16" s="199">
        <f t="shared" si="11"/>
        <v>0.0025</v>
      </c>
      <c r="J16" s="199">
        <f t="shared" si="11"/>
        <v>0.0025</v>
      </c>
      <c r="K16" s="199">
        <f t="shared" si="11"/>
        <v>0.0025</v>
      </c>
      <c r="L16" s="199">
        <f t="shared" si="11"/>
        <v>0.0025</v>
      </c>
      <c r="M16" s="199">
        <f t="shared" si="11"/>
        <v>0.0025</v>
      </c>
      <c r="N16" s="199">
        <f t="shared" si="11"/>
        <v>0.0025</v>
      </c>
      <c r="O16" s="199">
        <f t="shared" si="11"/>
        <v>0.0025</v>
      </c>
      <c r="P16" s="199">
        <f t="shared" si="11"/>
        <v>0.0025</v>
      </c>
      <c r="Q16" s="199">
        <f t="shared" si="11"/>
        <v>0.0025</v>
      </c>
      <c r="R16" s="199">
        <f t="shared" si="11"/>
        <v>0.0025</v>
      </c>
      <c r="S16" s="199">
        <f t="shared" si="11"/>
        <v>0.0025</v>
      </c>
      <c r="T16" s="199">
        <f t="shared" si="11"/>
        <v>0.0025</v>
      </c>
      <c r="U16" s="199">
        <f t="shared" si="11"/>
        <v>0.0025</v>
      </c>
      <c r="V16" s="199">
        <f t="shared" si="11"/>
        <v>0.0025</v>
      </c>
      <c r="W16" s="199">
        <f t="shared" si="11"/>
        <v>0.0025</v>
      </c>
      <c r="X16" s="199">
        <f t="shared" si="11"/>
        <v>0.0025</v>
      </c>
      <c r="Y16" s="199">
        <f t="shared" si="11"/>
        <v>0.0025</v>
      </c>
      <c r="Z16" s="199">
        <f t="shared" si="11"/>
        <v>0.0025</v>
      </c>
      <c r="AA16" s="199">
        <f t="shared" si="11"/>
        <v>0.0025</v>
      </c>
      <c r="AB16" s="199">
        <f t="shared" si="11"/>
        <v>0.0025</v>
      </c>
      <c r="AC16" s="199">
        <f t="shared" si="11"/>
        <v>0.0025</v>
      </c>
      <c r="AD16" s="199">
        <f t="shared" si="11"/>
        <v>0.0025</v>
      </c>
      <c r="AE16" s="199">
        <f t="shared" si="11"/>
        <v>0.0025</v>
      </c>
      <c r="AF16" s="199">
        <f t="shared" si="11"/>
        <v>0.0025</v>
      </c>
      <c r="AG16" s="199">
        <f t="shared" si="11"/>
        <v>0.0025</v>
      </c>
      <c r="AH16" s="199">
        <f t="shared" si="11"/>
        <v>0.0025</v>
      </c>
      <c r="AI16" s="199">
        <f t="shared" si="11"/>
        <v>0.0025</v>
      </c>
      <c r="AJ16" s="199">
        <f t="shared" si="11"/>
        <v>0.0025</v>
      </c>
      <c r="AK16" s="199">
        <f t="shared" si="11"/>
        <v>0.0025</v>
      </c>
      <c r="AL16" s="199">
        <f t="shared" si="11"/>
        <v>0.0025</v>
      </c>
      <c r="AM16" s="199">
        <f t="shared" si="11"/>
        <v>0.0025</v>
      </c>
      <c r="AN16" s="199">
        <f t="shared" si="11"/>
        <v>0.0025</v>
      </c>
      <c r="AO16" s="199">
        <f t="shared" si="11"/>
        <v>0.0025</v>
      </c>
      <c r="AP16" s="199">
        <f t="shared" si="11"/>
        <v>0.0025</v>
      </c>
      <c r="AQ16" s="199">
        <f t="shared" si="11"/>
        <v>0.0025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B1:AF253"/>
  <sheetViews>
    <sheetView zoomScalePageLayoutView="0" workbookViewId="0" topLeftCell="A1">
      <pane xSplit="4" ySplit="9" topLeftCell="E27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B38" sqref="B38"/>
    </sheetView>
  </sheetViews>
  <sheetFormatPr defaultColWidth="9.140625" defaultRowHeight="12.75"/>
  <cols>
    <col min="1" max="1" width="1.57421875" style="2" customWidth="1"/>
    <col min="2" max="2" width="39.140625" style="2" customWidth="1"/>
    <col min="3" max="3" width="10.57421875" style="2" hidden="1" customWidth="1"/>
    <col min="4" max="4" width="2.57421875" style="2" customWidth="1"/>
    <col min="5" max="5" width="11.57421875" style="2" customWidth="1"/>
    <col min="6" max="6" width="0.85546875" style="2" customWidth="1"/>
    <col min="7" max="7" width="11.57421875" style="2" customWidth="1"/>
    <col min="8" max="8" width="0.85546875" style="2" customWidth="1"/>
    <col min="9" max="9" width="10.57421875" style="67" bestFit="1" customWidth="1"/>
    <col min="10" max="10" width="0.85546875" style="2" customWidth="1"/>
    <col min="11" max="11" width="11.57421875" style="2" customWidth="1"/>
    <col min="12" max="12" width="0.85546875" style="2" customWidth="1"/>
    <col min="13" max="13" width="11.57421875" style="2" customWidth="1"/>
    <col min="14" max="14" width="1.57421875" style="3" customWidth="1"/>
    <col min="15" max="15" width="14.00390625" style="3" customWidth="1"/>
    <col min="16" max="16" width="4.421875" style="3" customWidth="1"/>
    <col min="17" max="17" width="18.8515625" style="3" hidden="1" customWidth="1"/>
    <col min="18" max="18" width="4.00390625" style="3" hidden="1" customWidth="1"/>
    <col min="19" max="19" width="15.421875" style="3" hidden="1" customWidth="1"/>
    <col min="20" max="31" width="0" style="2" hidden="1" customWidth="1"/>
    <col min="32" max="32" width="10.421875" style="2" bestFit="1" customWidth="1"/>
    <col min="33" max="16384" width="9.140625" style="2" customWidth="1"/>
  </cols>
  <sheetData>
    <row r="1" spans="2:20" ht="12.75" customHeigh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6"/>
      <c r="O1" s="6"/>
      <c r="P1" s="6"/>
      <c r="Q1" s="6"/>
      <c r="R1" s="6"/>
      <c r="S1" s="6"/>
      <c r="T1" s="11"/>
    </row>
    <row r="2" spans="2:20" ht="12.75" customHeight="1">
      <c r="B2" s="212" t="s">
        <v>63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"/>
      <c r="O2" s="6"/>
      <c r="P2" s="6"/>
      <c r="Q2" s="6"/>
      <c r="R2" s="6"/>
      <c r="S2" s="6"/>
      <c r="T2" s="11"/>
    </row>
    <row r="3" spans="2:20" ht="12.75" customHeight="1">
      <c r="B3" s="212" t="s">
        <v>53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6"/>
      <c r="O3" s="6"/>
      <c r="P3" s="6"/>
      <c r="Q3" s="6"/>
      <c r="R3" s="6"/>
      <c r="S3" s="6"/>
      <c r="T3" s="11"/>
    </row>
    <row r="4" spans="2:20" ht="12.75" customHeight="1">
      <c r="B4" s="213" t="s">
        <v>29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64"/>
      <c r="O4" s="64"/>
      <c r="P4" s="64"/>
      <c r="Q4" s="64"/>
      <c r="R4" s="64"/>
      <c r="S4" s="64"/>
      <c r="T4" s="62"/>
    </row>
    <row r="5" spans="2:20" ht="12.75" customHeight="1">
      <c r="B5" s="214" t="s">
        <v>122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65"/>
      <c r="O5" s="65"/>
      <c r="P5" s="65"/>
      <c r="Q5" s="65"/>
      <c r="R5" s="65"/>
      <c r="S5" s="65"/>
      <c r="T5" s="63"/>
    </row>
    <row r="6" spans="2:20" ht="12.75" customHeight="1">
      <c r="B6" s="215" t="s">
        <v>59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66"/>
      <c r="O6" s="66"/>
      <c r="P6" s="66"/>
      <c r="Q6" s="66"/>
      <c r="R6" s="66"/>
      <c r="S6" s="66"/>
      <c r="T6" s="12"/>
    </row>
    <row r="7" spans="2:7" ht="12.75" customHeight="1">
      <c r="B7" s="12"/>
      <c r="C7" s="12"/>
      <c r="D7" s="12"/>
      <c r="E7" s="12"/>
      <c r="F7" s="12"/>
      <c r="G7" s="12"/>
    </row>
    <row r="8" spans="3:29" ht="11.25">
      <c r="C8" s="11" t="s">
        <v>40</v>
      </c>
      <c r="D8" s="11"/>
      <c r="E8" s="11"/>
      <c r="G8" s="11"/>
      <c r="I8" s="169"/>
      <c r="K8" s="11" t="s">
        <v>37</v>
      </c>
      <c r="M8" s="11"/>
      <c r="O8" s="6"/>
      <c r="Q8" s="2"/>
      <c r="R8" s="2"/>
      <c r="S8" s="11" t="s">
        <v>32</v>
      </c>
      <c r="U8" s="11" t="s">
        <v>66</v>
      </c>
      <c r="W8" s="11" t="s">
        <v>36</v>
      </c>
      <c r="Y8" s="11" t="s">
        <v>68</v>
      </c>
      <c r="AA8" s="11" t="s">
        <v>37</v>
      </c>
      <c r="AC8" s="11"/>
    </row>
    <row r="9" spans="3:29" ht="11.25">
      <c r="C9" s="4" t="s">
        <v>41</v>
      </c>
      <c r="D9" s="11"/>
      <c r="E9" s="4" t="s">
        <v>104</v>
      </c>
      <c r="G9" s="4" t="s">
        <v>105</v>
      </c>
      <c r="I9" s="188" t="s">
        <v>106</v>
      </c>
      <c r="K9" s="4" t="s">
        <v>38</v>
      </c>
      <c r="L9" s="3"/>
      <c r="M9" s="4" t="s">
        <v>39</v>
      </c>
      <c r="O9" s="6"/>
      <c r="Q9" s="4" t="s">
        <v>42</v>
      </c>
      <c r="R9" s="2"/>
      <c r="S9" s="4" t="s">
        <v>33</v>
      </c>
      <c r="U9" s="4" t="s">
        <v>67</v>
      </c>
      <c r="W9" s="4" t="s">
        <v>10</v>
      </c>
      <c r="Y9" s="4" t="s">
        <v>10</v>
      </c>
      <c r="AA9" s="4" t="s">
        <v>38</v>
      </c>
      <c r="AB9" s="3"/>
      <c r="AC9" s="4" t="s">
        <v>39</v>
      </c>
    </row>
    <row r="10" spans="2:29" ht="11.25">
      <c r="B10" s="5" t="s">
        <v>9</v>
      </c>
      <c r="C10" s="7"/>
      <c r="E10" s="7"/>
      <c r="G10" s="7"/>
      <c r="K10" s="7"/>
      <c r="M10" s="7"/>
      <c r="O10" s="9"/>
      <c r="Q10" s="7"/>
      <c r="R10" s="2"/>
      <c r="S10" s="7"/>
      <c r="U10" s="7"/>
      <c r="W10" s="7"/>
      <c r="Y10" s="7"/>
      <c r="AA10" s="7"/>
      <c r="AC10" s="7"/>
    </row>
    <row r="11" spans="2:31" s="13" customFormat="1" ht="11.25">
      <c r="B11" s="37" t="s">
        <v>10</v>
      </c>
      <c r="C11" s="10">
        <v>0</v>
      </c>
      <c r="D11" s="10"/>
      <c r="E11" s="10">
        <v>0</v>
      </c>
      <c r="F11" s="10"/>
      <c r="G11" s="10">
        <v>57557.49999999999</v>
      </c>
      <c r="H11" s="10"/>
      <c r="I11" s="180">
        <v>0</v>
      </c>
      <c r="J11" s="10"/>
      <c r="K11" s="10">
        <v>0</v>
      </c>
      <c r="L11" s="10"/>
      <c r="M11" s="10">
        <f>SUM(E11:K11)</f>
        <v>57557.49999999999</v>
      </c>
      <c r="N11" s="40"/>
      <c r="O11" s="40"/>
      <c r="P11" s="40"/>
      <c r="Q11" s="10">
        <v>0</v>
      </c>
      <c r="R11" s="10"/>
      <c r="S11" s="10">
        <v>0</v>
      </c>
      <c r="T11" s="10"/>
      <c r="U11" s="10">
        <v>0</v>
      </c>
      <c r="V11" s="10"/>
      <c r="W11" s="10">
        <v>15675.35863</v>
      </c>
      <c r="X11" s="10"/>
      <c r="Y11" s="10">
        <v>76905.10454</v>
      </c>
      <c r="Z11" s="10"/>
      <c r="AA11" s="10">
        <v>-12518</v>
      </c>
      <c r="AB11" s="10"/>
      <c r="AC11" s="10">
        <v>80062.46317</v>
      </c>
      <c r="AE11" s="13" t="e">
        <v>#REF!</v>
      </c>
    </row>
    <row r="12" spans="2:31" ht="11.25">
      <c r="B12" s="37" t="s">
        <v>11</v>
      </c>
      <c r="C12" s="7">
        <v>0</v>
      </c>
      <c r="E12" s="7">
        <v>50050</v>
      </c>
      <c r="G12" s="7">
        <v>0</v>
      </c>
      <c r="I12" s="67">
        <v>0</v>
      </c>
      <c r="K12" s="7">
        <v>-50050</v>
      </c>
      <c r="M12" s="67">
        <f>SUM(E12:K12)</f>
        <v>0</v>
      </c>
      <c r="O12" s="9"/>
      <c r="Q12" s="7">
        <v>0</v>
      </c>
      <c r="R12" s="2">
        <v>0</v>
      </c>
      <c r="S12" s="7">
        <v>0</v>
      </c>
      <c r="U12" s="7">
        <v>39751.23763</v>
      </c>
      <c r="W12" s="7">
        <v>1062.4007</v>
      </c>
      <c r="Y12" s="7">
        <v>17063.13316</v>
      </c>
      <c r="AA12" s="7">
        <v>-42742.23763</v>
      </c>
      <c r="AC12" s="7">
        <v>15134.533859999996</v>
      </c>
      <c r="AE12" s="13" t="e">
        <v>#REF!</v>
      </c>
    </row>
    <row r="13" spans="2:31" ht="11.25">
      <c r="B13" s="37" t="s">
        <v>12</v>
      </c>
      <c r="C13" s="7">
        <v>0</v>
      </c>
      <c r="E13" s="7">
        <v>0</v>
      </c>
      <c r="G13" s="7">
        <v>14451.8585935</v>
      </c>
      <c r="I13" s="67">
        <v>0</v>
      </c>
      <c r="K13" s="7">
        <v>0</v>
      </c>
      <c r="M13" s="67">
        <f>SUM(E13:K13)</f>
        <v>14451.8585935</v>
      </c>
      <c r="O13" s="9"/>
      <c r="Q13" s="7">
        <v>0</v>
      </c>
      <c r="R13" s="2">
        <v>0</v>
      </c>
      <c r="S13" s="7">
        <v>0</v>
      </c>
      <c r="U13" s="7">
        <v>0</v>
      </c>
      <c r="W13" s="7">
        <v>357.25397</v>
      </c>
      <c r="Y13" s="7">
        <v>3478.4172000000003</v>
      </c>
      <c r="AA13" s="7">
        <v>-218</v>
      </c>
      <c r="AC13" s="7">
        <v>3617.6711700000005</v>
      </c>
      <c r="AE13" s="13" t="e">
        <v>#REF!</v>
      </c>
    </row>
    <row r="14" spans="2:31" ht="11.25">
      <c r="B14" s="2" t="s">
        <v>64</v>
      </c>
      <c r="C14" s="14">
        <v>0</v>
      </c>
      <c r="E14" s="14">
        <f>SUM(E11:E13)</f>
        <v>50050</v>
      </c>
      <c r="F14" s="14">
        <f aca="true" t="shared" si="0" ref="F14:M14">SUM(F11:F13)</f>
        <v>0</v>
      </c>
      <c r="G14" s="14">
        <f t="shared" si="0"/>
        <v>72009.35859349999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-50050</v>
      </c>
      <c r="L14" s="14">
        <f t="shared" si="0"/>
        <v>0</v>
      </c>
      <c r="M14" s="14">
        <f t="shared" si="0"/>
        <v>72009.35859349999</v>
      </c>
      <c r="O14" s="9"/>
      <c r="Q14" s="14">
        <v>248.339</v>
      </c>
      <c r="R14" s="2">
        <v>0</v>
      </c>
      <c r="S14" s="14">
        <v>0</v>
      </c>
      <c r="U14" s="14">
        <v>39823.5831</v>
      </c>
      <c r="W14" s="14">
        <v>17095.013300000002</v>
      </c>
      <c r="Y14" s="14">
        <v>108823.46646</v>
      </c>
      <c r="AA14" s="14">
        <v>-55555.5831</v>
      </c>
      <c r="AC14" s="14">
        <v>110434.81876000001</v>
      </c>
      <c r="AE14" s="13" t="e">
        <v>#REF!</v>
      </c>
    </row>
    <row r="15" spans="2:31" ht="11.25">
      <c r="B15" s="5" t="s">
        <v>13</v>
      </c>
      <c r="C15" s="7"/>
      <c r="E15" s="7"/>
      <c r="G15" s="7"/>
      <c r="K15" s="7"/>
      <c r="M15" s="7"/>
      <c r="O15" s="9"/>
      <c r="Q15" s="7"/>
      <c r="R15" s="2">
        <v>0</v>
      </c>
      <c r="S15" s="7"/>
      <c r="U15" s="7"/>
      <c r="W15" s="7"/>
      <c r="Y15" s="7"/>
      <c r="AA15" s="7"/>
      <c r="AC15" s="7"/>
      <c r="AE15" s="13" t="e">
        <v>#REF!</v>
      </c>
    </row>
    <row r="16" spans="2:31" ht="11.25">
      <c r="B16" s="37" t="s">
        <v>14</v>
      </c>
      <c r="C16" s="7">
        <v>0</v>
      </c>
      <c r="E16" s="7">
        <v>10010</v>
      </c>
      <c r="G16" s="7">
        <v>55055.00000000001</v>
      </c>
      <c r="I16" s="67">
        <v>0</v>
      </c>
      <c r="K16" s="7">
        <v>-50050</v>
      </c>
      <c r="M16" s="67">
        <f>SUM(E16:K16)</f>
        <v>15015.000000000007</v>
      </c>
      <c r="O16" s="9"/>
      <c r="Q16" s="7">
        <v>335.24284</v>
      </c>
      <c r="R16" s="2">
        <v>0</v>
      </c>
      <c r="S16" s="7">
        <v>0</v>
      </c>
      <c r="U16" s="7">
        <v>13728.64205</v>
      </c>
      <c r="W16" s="7">
        <v>18257.41827</v>
      </c>
      <c r="Y16" s="7">
        <v>125180.88843</v>
      </c>
      <c r="AA16" s="7">
        <v>-55555.5831</v>
      </c>
      <c r="AC16" s="7">
        <v>101946.60849</v>
      </c>
      <c r="AE16" s="13" t="e">
        <v>#REF!</v>
      </c>
    </row>
    <row r="17" spans="2:31" ht="11.25">
      <c r="B17" s="37" t="s">
        <v>98</v>
      </c>
      <c r="C17" s="7">
        <v>0</v>
      </c>
      <c r="E17" s="7">
        <v>17517.5</v>
      </c>
      <c r="G17" s="7">
        <v>10980.967906768017</v>
      </c>
      <c r="I17" s="67">
        <v>0</v>
      </c>
      <c r="K17" s="7">
        <v>0</v>
      </c>
      <c r="M17" s="67">
        <f>SUM(E17:K17)</f>
        <v>28498.46790676802</v>
      </c>
      <c r="O17" s="9"/>
      <c r="Q17" s="7">
        <v>43.49062</v>
      </c>
      <c r="R17" s="2"/>
      <c r="S17" s="7">
        <v>15.11753</v>
      </c>
      <c r="U17" s="7">
        <v>22556.56497</v>
      </c>
      <c r="W17" s="7">
        <v>675.93506</v>
      </c>
      <c r="Y17" s="7">
        <v>18525.82999</v>
      </c>
      <c r="AA17" s="7">
        <v>0</v>
      </c>
      <c r="AC17" s="7">
        <v>41816.938169999994</v>
      </c>
      <c r="AE17" s="13" t="e">
        <v>#REF!</v>
      </c>
    </row>
    <row r="18" spans="2:31" ht="11.25">
      <c r="B18" s="2" t="s">
        <v>64</v>
      </c>
      <c r="C18" s="14">
        <v>0</v>
      </c>
      <c r="E18" s="14">
        <f>SUM(E16:E17)</f>
        <v>27527.5</v>
      </c>
      <c r="F18" s="14">
        <f aca="true" t="shared" si="1" ref="F18:M18">SUM(F16:F17)</f>
        <v>0</v>
      </c>
      <c r="G18" s="14">
        <f t="shared" si="1"/>
        <v>66035.96790676803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-50050</v>
      </c>
      <c r="L18" s="14">
        <f t="shared" si="1"/>
        <v>0</v>
      </c>
      <c r="M18" s="14">
        <f t="shared" si="1"/>
        <v>43513.467906768026</v>
      </c>
      <c r="O18" s="9"/>
      <c r="Q18" s="14">
        <v>378.73346</v>
      </c>
      <c r="R18" s="2">
        <v>0</v>
      </c>
      <c r="S18" s="14">
        <v>15.11753</v>
      </c>
      <c r="U18" s="14">
        <v>36285.20702</v>
      </c>
      <c r="W18" s="14">
        <v>19347.830779999997</v>
      </c>
      <c r="Y18" s="14">
        <v>146088.25905</v>
      </c>
      <c r="AA18" s="14">
        <v>-55555.5831</v>
      </c>
      <c r="AC18" s="14">
        <v>146559.56474</v>
      </c>
      <c r="AE18" s="13" t="e">
        <v>#REF!</v>
      </c>
    </row>
    <row r="19" spans="2:31" ht="18" customHeight="1">
      <c r="B19" s="38" t="s">
        <v>15</v>
      </c>
      <c r="C19" s="7">
        <v>0</v>
      </c>
      <c r="E19" s="7">
        <f>E14-E18</f>
        <v>22522.5</v>
      </c>
      <c r="F19" s="7">
        <f aca="true" t="shared" si="2" ref="F19:L19">F14-F18</f>
        <v>0</v>
      </c>
      <c r="G19" s="7">
        <f t="shared" si="2"/>
        <v>5973.39068673196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>M14-M18</f>
        <v>28495.89068673196</v>
      </c>
      <c r="O19" s="9"/>
      <c r="Q19" s="7">
        <v>-130.39445999999998</v>
      </c>
      <c r="R19" s="2">
        <v>0</v>
      </c>
      <c r="S19" s="7">
        <v>-15.11753</v>
      </c>
      <c r="U19" s="7">
        <v>3538.376080000002</v>
      </c>
      <c r="W19" s="7">
        <v>-2252.8174799999942</v>
      </c>
      <c r="Y19" s="7">
        <v>-37264.79259</v>
      </c>
      <c r="AA19" s="7">
        <v>0</v>
      </c>
      <c r="AC19" s="7">
        <v>-36124.74597999999</v>
      </c>
      <c r="AE19" s="13" t="e">
        <v>#REF!</v>
      </c>
    </row>
    <row r="20" spans="2:31" ht="12" customHeight="1">
      <c r="B20" s="37"/>
      <c r="C20" s="7"/>
      <c r="E20" s="7"/>
      <c r="G20" s="7"/>
      <c r="K20" s="7"/>
      <c r="M20" s="67"/>
      <c r="O20" s="9"/>
      <c r="Q20" s="7"/>
      <c r="R20" s="2"/>
      <c r="S20" s="7"/>
      <c r="U20" s="7"/>
      <c r="W20" s="7"/>
      <c r="Y20" s="7"/>
      <c r="AA20" s="7"/>
      <c r="AC20" s="7"/>
      <c r="AE20" s="13"/>
    </row>
    <row r="21" spans="2:31" ht="12" thickBot="1">
      <c r="B21" s="5" t="s">
        <v>16</v>
      </c>
      <c r="C21" s="41">
        <v>0</v>
      </c>
      <c r="E21" s="41">
        <f>E19</f>
        <v>22522.5</v>
      </c>
      <c r="F21" s="41">
        <f aca="true" t="shared" si="3" ref="F21:M21">F19</f>
        <v>0</v>
      </c>
      <c r="G21" s="41">
        <f t="shared" si="3"/>
        <v>5973.39068673196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1">
        <f t="shared" si="3"/>
        <v>0</v>
      </c>
      <c r="L21" s="41">
        <f t="shared" si="3"/>
        <v>0</v>
      </c>
      <c r="M21" s="41">
        <f t="shared" si="3"/>
        <v>28495.89068673196</v>
      </c>
      <c r="O21" s="42"/>
      <c r="Q21" s="41">
        <v>-130.39445999999998</v>
      </c>
      <c r="R21" s="2">
        <v>0</v>
      </c>
      <c r="S21" s="41">
        <v>-15.11753</v>
      </c>
      <c r="U21" s="41">
        <v>3538.376080000002</v>
      </c>
      <c r="W21" s="41">
        <v>-2252.8174799999942</v>
      </c>
      <c r="Y21" s="41">
        <v>-37323.731239999994</v>
      </c>
      <c r="AA21" s="41">
        <v>0</v>
      </c>
      <c r="AC21" s="41">
        <v>-36183.68462999999</v>
      </c>
      <c r="AE21" s="13" t="e">
        <v>#REF!</v>
      </c>
    </row>
    <row r="22" spans="2:31" ht="11.25">
      <c r="B22" s="5"/>
      <c r="C22" s="42"/>
      <c r="E22" s="42"/>
      <c r="G22" s="42"/>
      <c r="K22" s="42"/>
      <c r="M22" s="42"/>
      <c r="O22" s="42"/>
      <c r="Q22" s="42"/>
      <c r="R22" s="2"/>
      <c r="S22" s="42"/>
      <c r="U22" s="42"/>
      <c r="W22" s="42"/>
      <c r="Y22" s="42"/>
      <c r="AA22" s="42"/>
      <c r="AC22" s="42"/>
      <c r="AE22" s="13"/>
    </row>
    <row r="23" spans="2:31" ht="11.25">
      <c r="B23" s="37" t="s">
        <v>97</v>
      </c>
      <c r="C23" s="7">
        <v>0</v>
      </c>
      <c r="E23" s="7">
        <v>11313.62</v>
      </c>
      <c r="G23" s="7">
        <v>5078.17</v>
      </c>
      <c r="I23" s="67">
        <v>0</v>
      </c>
      <c r="K23" s="7">
        <v>0</v>
      </c>
      <c r="M23" s="7">
        <f>SUM(E23:K23)</f>
        <v>16391.79</v>
      </c>
      <c r="O23" s="9"/>
      <c r="Q23" s="7">
        <v>0</v>
      </c>
      <c r="R23" s="2"/>
      <c r="S23" s="7">
        <v>0</v>
      </c>
      <c r="U23" s="7">
        <v>4331.88332</v>
      </c>
      <c r="W23" s="7">
        <v>688.743</v>
      </c>
      <c r="Y23" s="7">
        <v>9578.93204</v>
      </c>
      <c r="AA23" s="7">
        <v>0</v>
      </c>
      <c r="AC23" s="7">
        <v>14599.558359999999</v>
      </c>
      <c r="AE23" s="13" t="e">
        <v>#REF!</v>
      </c>
    </row>
    <row r="24" spans="2:31" ht="11.25">
      <c r="B24" s="2" t="s">
        <v>64</v>
      </c>
      <c r="C24" s="14">
        <v>0</v>
      </c>
      <c r="E24" s="14">
        <f>E23</f>
        <v>11313.62</v>
      </c>
      <c r="F24" s="14">
        <f aca="true" t="shared" si="4" ref="F24:M24">F23</f>
        <v>0</v>
      </c>
      <c r="G24" s="14">
        <f t="shared" si="4"/>
        <v>5078.17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16391.79</v>
      </c>
      <c r="O24" s="9"/>
      <c r="Q24" s="14">
        <v>0</v>
      </c>
      <c r="R24" s="2"/>
      <c r="S24" s="14">
        <v>0</v>
      </c>
      <c r="U24" s="14">
        <v>8126.667659999999</v>
      </c>
      <c r="W24" s="14">
        <v>688.743</v>
      </c>
      <c r="Y24" s="14">
        <v>9578.93204</v>
      </c>
      <c r="AA24" s="14">
        <v>0</v>
      </c>
      <c r="AC24" s="14">
        <v>18394.342699999997</v>
      </c>
      <c r="AE24" s="13" t="e">
        <v>#REF!</v>
      </c>
    </row>
    <row r="25" spans="2:32" ht="21" customHeight="1">
      <c r="B25" s="38" t="s">
        <v>17</v>
      </c>
      <c r="C25" s="7">
        <v>0</v>
      </c>
      <c r="E25" s="49">
        <f>E21-E24</f>
        <v>11208.88</v>
      </c>
      <c r="F25" s="49">
        <f aca="true" t="shared" si="5" ref="F25:M25">F21-F24</f>
        <v>0</v>
      </c>
      <c r="G25" s="49">
        <f t="shared" si="5"/>
        <v>895.2206867319601</v>
      </c>
      <c r="H25" s="49">
        <f t="shared" si="5"/>
        <v>0</v>
      </c>
      <c r="I25" s="49">
        <f t="shared" si="5"/>
        <v>0</v>
      </c>
      <c r="J25" s="49">
        <f t="shared" si="5"/>
        <v>0</v>
      </c>
      <c r="K25" s="49">
        <f t="shared" si="5"/>
        <v>0</v>
      </c>
      <c r="L25" s="49">
        <f t="shared" si="5"/>
        <v>0</v>
      </c>
      <c r="M25" s="49">
        <f t="shared" si="5"/>
        <v>12104.10068673196</v>
      </c>
      <c r="O25" s="9"/>
      <c r="Q25" s="49">
        <v>-130.39445999999998</v>
      </c>
      <c r="R25" s="5">
        <v>0</v>
      </c>
      <c r="S25" s="49">
        <v>-15.11753</v>
      </c>
      <c r="T25" s="5"/>
      <c r="U25" s="49">
        <v>-4588.291579999997</v>
      </c>
      <c r="V25" s="5"/>
      <c r="W25" s="49">
        <v>-2941.560479999994</v>
      </c>
      <c r="X25" s="5"/>
      <c r="Y25" s="49">
        <v>-46902.66327999999</v>
      </c>
      <c r="Z25" s="49"/>
      <c r="AA25" s="49">
        <v>0</v>
      </c>
      <c r="AB25" s="5"/>
      <c r="AC25" s="49">
        <v>-54578.02732999998</v>
      </c>
      <c r="AE25" s="13" t="e">
        <v>#REF!</v>
      </c>
      <c r="AF25" s="191"/>
    </row>
    <row r="26" spans="2:31" ht="20.25" customHeight="1">
      <c r="B26" s="38" t="s">
        <v>18</v>
      </c>
      <c r="C26" s="7"/>
      <c r="E26" s="7"/>
      <c r="G26" s="7"/>
      <c r="K26" s="7"/>
      <c r="M26" s="7"/>
      <c r="O26" s="9"/>
      <c r="Q26" s="7"/>
      <c r="R26" s="2">
        <v>0</v>
      </c>
      <c r="S26" s="7"/>
      <c r="U26" s="7"/>
      <c r="W26" s="7"/>
      <c r="Y26" s="7"/>
      <c r="AA26" s="7"/>
      <c r="AC26" s="7"/>
      <c r="AE26" s="13" t="e">
        <v>#REF!</v>
      </c>
    </row>
    <row r="27" spans="2:31" ht="11.25">
      <c r="B27" s="43" t="s">
        <v>19</v>
      </c>
      <c r="C27" s="7">
        <v>0</v>
      </c>
      <c r="E27" s="7">
        <v>2608.2024300000003</v>
      </c>
      <c r="G27" s="7">
        <v>167.8701</v>
      </c>
      <c r="I27" s="67">
        <v>0</v>
      </c>
      <c r="K27" s="7">
        <v>0</v>
      </c>
      <c r="M27" s="7">
        <f>SUM(E27:K27)</f>
        <v>2776.0725300000004</v>
      </c>
      <c r="O27" s="9"/>
      <c r="Q27" s="7">
        <v>0</v>
      </c>
      <c r="R27" s="2">
        <v>0</v>
      </c>
      <c r="S27" s="7">
        <v>94.46722</v>
      </c>
      <c r="U27" s="7">
        <v>2608.2024300000003</v>
      </c>
      <c r="W27" s="7">
        <v>2.04591</v>
      </c>
      <c r="Y27" s="7">
        <v>165.8701</v>
      </c>
      <c r="AA27" s="7">
        <v>0</v>
      </c>
      <c r="AC27" s="7">
        <v>2870.58566</v>
      </c>
      <c r="AE27" s="13" t="e">
        <v>#REF!</v>
      </c>
    </row>
    <row r="28" spans="2:31" ht="11.25">
      <c r="B28" s="37" t="s">
        <v>20</v>
      </c>
      <c r="C28" s="7">
        <v>0</v>
      </c>
      <c r="E28" s="7">
        <f>-'Forest Co Notes'!Z12</f>
        <v>-28968.4933919452</v>
      </c>
      <c r="G28" s="7">
        <f>-'MillCo Notes'!I70</f>
        <v>-3952.7222222222226</v>
      </c>
      <c r="I28" s="67">
        <f>-(SUM('MLC Note'!I86:I89))-'MLC Revolver'!V12</f>
        <v>-6794.2508333333335</v>
      </c>
      <c r="K28" s="7">
        <v>0</v>
      </c>
      <c r="M28" s="7">
        <f>SUM(E28:K28)</f>
        <v>-39715.46644750075</v>
      </c>
      <c r="O28" s="9"/>
      <c r="Q28" s="7">
        <v>0</v>
      </c>
      <c r="R28" s="2">
        <v>0</v>
      </c>
      <c r="S28" s="7">
        <v>0</v>
      </c>
      <c r="U28" s="7">
        <v>-56575.36958</v>
      </c>
      <c r="W28" s="7">
        <v>-0.044039999999999996</v>
      </c>
      <c r="Y28" s="7">
        <v>-16775.2474</v>
      </c>
      <c r="AA28" s="7">
        <v>0</v>
      </c>
      <c r="AC28" s="7">
        <v>-73350.66102</v>
      </c>
      <c r="AE28" s="13" t="e">
        <v>#REF!</v>
      </c>
    </row>
    <row r="29" spans="3:31" ht="11.25">
      <c r="C29" s="14">
        <v>0</v>
      </c>
      <c r="E29" s="14">
        <f>SUM(E27:E28)</f>
        <v>-26360.2909619452</v>
      </c>
      <c r="F29" s="14">
        <f>SUM(F27:F28)</f>
        <v>0</v>
      </c>
      <c r="G29" s="14">
        <f>SUM(G27:G28)</f>
        <v>-3784.8521222222225</v>
      </c>
      <c r="H29" s="14">
        <f>SUM(H27:H28)</f>
        <v>0</v>
      </c>
      <c r="I29" s="14">
        <f>SUM(I27:I28)</f>
        <v>-6794.2508333333335</v>
      </c>
      <c r="K29" s="14">
        <v>0</v>
      </c>
      <c r="M29" s="14">
        <f>SUM(M27:M28)</f>
        <v>-36939.393917500754</v>
      </c>
      <c r="O29" s="9"/>
      <c r="Q29" s="14">
        <v>0</v>
      </c>
      <c r="R29" s="2">
        <v>0</v>
      </c>
      <c r="S29" s="14">
        <v>94.46722</v>
      </c>
      <c r="U29" s="14">
        <v>-55603.392850000004</v>
      </c>
      <c r="W29" s="14">
        <v>223.02408</v>
      </c>
      <c r="Y29" s="14">
        <v>-29138.535539999997</v>
      </c>
      <c r="AA29" s="14">
        <v>0</v>
      </c>
      <c r="AC29" s="14">
        <v>-84424.43708999999</v>
      </c>
      <c r="AE29" s="13" t="e">
        <v>#REF!</v>
      </c>
    </row>
    <row r="30" spans="2:32" ht="22.5">
      <c r="B30" s="44" t="s">
        <v>21</v>
      </c>
      <c r="C30" s="7">
        <v>0</v>
      </c>
      <c r="E30" s="49">
        <f>E25+E29</f>
        <v>-15151.410961945201</v>
      </c>
      <c r="F30" s="49">
        <f aca="true" t="shared" si="6" ref="F30:M30">F25+F29</f>
        <v>0</v>
      </c>
      <c r="G30" s="49">
        <f t="shared" si="6"/>
        <v>-2889.6314354902624</v>
      </c>
      <c r="H30" s="49">
        <f t="shared" si="6"/>
        <v>0</v>
      </c>
      <c r="I30" s="49">
        <f t="shared" si="6"/>
        <v>-6794.2508333333335</v>
      </c>
      <c r="J30" s="49">
        <f t="shared" si="6"/>
        <v>0</v>
      </c>
      <c r="K30" s="49">
        <f t="shared" si="6"/>
        <v>0</v>
      </c>
      <c r="L30" s="49">
        <f t="shared" si="6"/>
        <v>0</v>
      </c>
      <c r="M30" s="49">
        <f t="shared" si="6"/>
        <v>-24835.293230768795</v>
      </c>
      <c r="O30" s="9"/>
      <c r="Q30" s="49">
        <v>-130.39445999999998</v>
      </c>
      <c r="R30" s="5">
        <v>0</v>
      </c>
      <c r="S30" s="49">
        <v>79.34969</v>
      </c>
      <c r="T30" s="5"/>
      <c r="U30" s="49">
        <v>-60191.68443</v>
      </c>
      <c r="V30" s="5"/>
      <c r="W30" s="49">
        <v>-2718.536399999994</v>
      </c>
      <c r="X30" s="5"/>
      <c r="Y30" s="49">
        <v>-76041.19881999999</v>
      </c>
      <c r="Z30" s="5"/>
      <c r="AA30" s="49">
        <v>0</v>
      </c>
      <c r="AB30" s="5"/>
      <c r="AC30" s="49">
        <v>-139002.46441999997</v>
      </c>
      <c r="AE30" s="13" t="e">
        <v>#REF!</v>
      </c>
      <c r="AF30" s="192"/>
    </row>
    <row r="31" spans="2:31" ht="18" customHeight="1">
      <c r="B31" s="38" t="s">
        <v>22</v>
      </c>
      <c r="C31" s="7">
        <v>0</v>
      </c>
      <c r="E31" s="7">
        <v>0</v>
      </c>
      <c r="G31" s="7">
        <v>10.761520000000019</v>
      </c>
      <c r="K31" s="7">
        <v>0</v>
      </c>
      <c r="M31" s="7">
        <f>SUM(E31:K31)</f>
        <v>10.761520000000019</v>
      </c>
      <c r="O31" s="9"/>
      <c r="Q31" s="7">
        <v>0</v>
      </c>
      <c r="R31" s="2"/>
      <c r="S31" s="7">
        <v>-0.8</v>
      </c>
      <c r="U31" s="7">
        <v>0</v>
      </c>
      <c r="W31" s="7">
        <v>-2163.811</v>
      </c>
      <c r="Y31" s="7">
        <v>2174.76152</v>
      </c>
      <c r="AA31" s="7">
        <v>0</v>
      </c>
      <c r="AC31" s="7">
        <v>10.150519999999688</v>
      </c>
      <c r="AE31" s="13" t="e">
        <v>#REF!</v>
      </c>
    </row>
    <row r="32" spans="2:31" ht="22.5">
      <c r="B32" s="44" t="s">
        <v>23</v>
      </c>
      <c r="C32" s="8">
        <v>0</v>
      </c>
      <c r="E32" s="55">
        <f>E30-E31</f>
        <v>-15151.410961945201</v>
      </c>
      <c r="F32" s="55">
        <f>F30-F31</f>
        <v>0</v>
      </c>
      <c r="G32" s="55">
        <f>G30-G31</f>
        <v>-2900.3929554902625</v>
      </c>
      <c r="H32" s="55">
        <f>H30-H31</f>
        <v>0</v>
      </c>
      <c r="I32" s="55">
        <f>I30-I31</f>
        <v>-6794.2508333333335</v>
      </c>
      <c r="J32" s="5"/>
      <c r="K32" s="55">
        <v>0</v>
      </c>
      <c r="L32" s="5"/>
      <c r="M32" s="55">
        <f>M30-M31</f>
        <v>-24846.054750768795</v>
      </c>
      <c r="O32" s="9"/>
      <c r="Q32" s="55">
        <v>-130.39445999999998</v>
      </c>
      <c r="R32" s="5"/>
      <c r="S32" s="55">
        <v>78.54969</v>
      </c>
      <c r="T32" s="5"/>
      <c r="U32" s="55">
        <v>-60191.68443</v>
      </c>
      <c r="V32" s="5"/>
      <c r="W32" s="55">
        <v>-4882.347399999994</v>
      </c>
      <c r="X32" s="5"/>
      <c r="Y32" s="55">
        <v>-73866.43729999999</v>
      </c>
      <c r="Z32" s="5"/>
      <c r="AA32" s="55">
        <v>0</v>
      </c>
      <c r="AB32" s="5"/>
      <c r="AC32" s="55">
        <v>-138992.31389999998</v>
      </c>
      <c r="AE32" s="13" t="e">
        <v>#REF!</v>
      </c>
    </row>
    <row r="33" spans="2:31" ht="11.25">
      <c r="B33" s="37"/>
      <c r="C33" s="7"/>
      <c r="E33" s="7"/>
      <c r="G33" s="7"/>
      <c r="K33" s="7"/>
      <c r="M33" s="7"/>
      <c r="O33" s="9"/>
      <c r="Q33" s="7"/>
      <c r="R33" s="2"/>
      <c r="S33" s="7"/>
      <c r="U33" s="7"/>
      <c r="W33" s="7"/>
      <c r="Y33" s="7"/>
      <c r="AA33" s="7"/>
      <c r="AC33" s="7"/>
      <c r="AE33" s="13"/>
    </row>
    <row r="34" spans="2:31" ht="11.25">
      <c r="B34" s="37"/>
      <c r="C34" s="7"/>
      <c r="E34" s="7"/>
      <c r="G34" s="7"/>
      <c r="K34" s="7"/>
      <c r="M34" s="7"/>
      <c r="O34" s="9"/>
      <c r="Q34" s="7"/>
      <c r="R34" s="2"/>
      <c r="S34" s="7"/>
      <c r="U34" s="7"/>
      <c r="W34" s="7"/>
      <c r="Y34" s="7"/>
      <c r="AA34" s="7"/>
      <c r="AC34" s="7"/>
      <c r="AE34" s="13"/>
    </row>
    <row r="35" spans="2:31" ht="20.25" customHeight="1" thickBot="1">
      <c r="B35" s="5" t="s">
        <v>24</v>
      </c>
      <c r="C35" s="45">
        <v>0</v>
      </c>
      <c r="E35" s="45">
        <f>E32</f>
        <v>-15151.410961945201</v>
      </c>
      <c r="G35" s="45">
        <f>G32</f>
        <v>-2900.3929554902625</v>
      </c>
      <c r="I35" s="181">
        <f>I32</f>
        <v>-6794.2508333333335</v>
      </c>
      <c r="K35" s="45">
        <v>0</v>
      </c>
      <c r="M35" s="45">
        <f>M32</f>
        <v>-24846.054750768795</v>
      </c>
      <c r="O35" s="46"/>
      <c r="Q35" s="45">
        <v>-130.39445999999998</v>
      </c>
      <c r="R35" s="2">
        <v>0</v>
      </c>
      <c r="S35" s="45">
        <v>78.54969</v>
      </c>
      <c r="U35" s="45">
        <v>-60191.68443</v>
      </c>
      <c r="W35" s="45">
        <v>-4882.347399999994</v>
      </c>
      <c r="Y35" s="45">
        <v>-139027.93396999998</v>
      </c>
      <c r="AA35" s="45">
        <v>65168.38154</v>
      </c>
      <c r="AC35" s="45">
        <v>-138985.42902999997</v>
      </c>
      <c r="AE35" s="13" t="e">
        <v>#REF!</v>
      </c>
    </row>
    <row r="36" spans="17:19" ht="12" thickTop="1">
      <c r="Q36" s="2"/>
      <c r="R36" s="2"/>
      <c r="S36" s="2"/>
    </row>
    <row r="38" ht="11.25">
      <c r="C38" s="7"/>
    </row>
    <row r="39" ht="11.25">
      <c r="C39" s="7"/>
    </row>
    <row r="40" ht="11.25">
      <c r="C40" s="7"/>
    </row>
    <row r="41" ht="11.25">
      <c r="C41" s="7"/>
    </row>
    <row r="42" ht="11.25">
      <c r="C42" s="7"/>
    </row>
    <row r="43" ht="11.25">
      <c r="C43" s="7"/>
    </row>
    <row r="44" ht="11.25">
      <c r="C44" s="7"/>
    </row>
    <row r="45" ht="11.25">
      <c r="C45" s="7"/>
    </row>
    <row r="46" ht="11.25">
      <c r="C46" s="7"/>
    </row>
    <row r="47" ht="11.25">
      <c r="C47" s="7"/>
    </row>
    <row r="48" ht="11.25">
      <c r="C48" s="7"/>
    </row>
    <row r="49" ht="11.25">
      <c r="C49" s="7"/>
    </row>
    <row r="50" ht="11.25">
      <c r="C50" s="7"/>
    </row>
    <row r="51" ht="11.25">
      <c r="C51" s="7"/>
    </row>
    <row r="52" ht="11.25">
      <c r="C52" s="7"/>
    </row>
    <row r="53" ht="11.25">
      <c r="C53" s="7"/>
    </row>
    <row r="54" ht="11.25">
      <c r="C54" s="7"/>
    </row>
    <row r="55" ht="11.25">
      <c r="C55" s="7"/>
    </row>
    <row r="56" ht="11.25">
      <c r="C56" s="7"/>
    </row>
    <row r="57" ht="11.25">
      <c r="C57" s="7"/>
    </row>
    <row r="58" ht="11.25">
      <c r="C58" s="7"/>
    </row>
    <row r="59" ht="11.25">
      <c r="C59" s="7"/>
    </row>
    <row r="60" ht="11.25">
      <c r="C60" s="7"/>
    </row>
    <row r="61" ht="11.25">
      <c r="C61" s="7"/>
    </row>
    <row r="62" ht="11.25">
      <c r="C62" s="7"/>
    </row>
    <row r="63" ht="11.25">
      <c r="C63" s="7"/>
    </row>
    <row r="64" ht="11.25">
      <c r="C64" s="7"/>
    </row>
    <row r="65" ht="11.25">
      <c r="C65" s="7"/>
    </row>
    <row r="66" ht="11.25">
      <c r="C66" s="7"/>
    </row>
    <row r="67" ht="11.25">
      <c r="C67" s="7"/>
    </row>
    <row r="68" ht="11.25">
      <c r="C68" s="7"/>
    </row>
    <row r="69" ht="11.25">
      <c r="C69" s="7"/>
    </row>
    <row r="70" ht="11.25">
      <c r="C70" s="7"/>
    </row>
    <row r="71" ht="11.25">
      <c r="C71" s="7"/>
    </row>
    <row r="72" ht="11.25">
      <c r="C72" s="7"/>
    </row>
    <row r="73" ht="11.25">
      <c r="C73" s="7"/>
    </row>
    <row r="74" ht="11.25">
      <c r="C74" s="7"/>
    </row>
    <row r="75" ht="11.25">
      <c r="C75" s="7"/>
    </row>
    <row r="76" ht="11.25">
      <c r="C76" s="7"/>
    </row>
    <row r="77" ht="11.25">
      <c r="C77" s="7"/>
    </row>
    <row r="78" ht="11.25">
      <c r="C78" s="7"/>
    </row>
    <row r="79" ht="11.25">
      <c r="C79" s="7"/>
    </row>
    <row r="80" ht="11.25">
      <c r="C80" s="7"/>
    </row>
    <row r="81" ht="11.25">
      <c r="C81" s="7"/>
    </row>
    <row r="82" ht="11.25">
      <c r="C82" s="7"/>
    </row>
    <row r="83" ht="11.25">
      <c r="C83" s="7"/>
    </row>
    <row r="84" ht="11.25">
      <c r="C84" s="7"/>
    </row>
    <row r="85" ht="11.25">
      <c r="C85" s="7"/>
    </row>
    <row r="86" ht="11.25">
      <c r="C86" s="7"/>
    </row>
    <row r="87" ht="11.25">
      <c r="C87" s="7"/>
    </row>
    <row r="88" ht="11.25">
      <c r="C88" s="7"/>
    </row>
    <row r="89" ht="11.25">
      <c r="C89" s="7"/>
    </row>
    <row r="90" ht="11.25">
      <c r="C90" s="7"/>
    </row>
    <row r="91" ht="11.25">
      <c r="C91" s="7"/>
    </row>
    <row r="92" ht="11.25">
      <c r="C92" s="7"/>
    </row>
    <row r="93" ht="11.25">
      <c r="C93" s="7"/>
    </row>
    <row r="94" ht="11.25">
      <c r="C94" s="7"/>
    </row>
    <row r="95" ht="11.25">
      <c r="C95" s="7"/>
    </row>
    <row r="96" ht="11.25">
      <c r="C96" s="7"/>
    </row>
    <row r="97" ht="11.25">
      <c r="C97" s="7"/>
    </row>
    <row r="98" ht="11.25">
      <c r="C98" s="7"/>
    </row>
    <row r="99" ht="11.25">
      <c r="C99" s="7"/>
    </row>
    <row r="100" ht="11.25">
      <c r="C100" s="7"/>
    </row>
    <row r="101" ht="11.25">
      <c r="C101" s="7"/>
    </row>
    <row r="102" ht="11.25">
      <c r="C102" s="7"/>
    </row>
    <row r="103" ht="11.25">
      <c r="C103" s="7"/>
    </row>
    <row r="104" ht="11.25">
      <c r="C104" s="7"/>
    </row>
    <row r="105" ht="11.25">
      <c r="C105" s="7"/>
    </row>
    <row r="106" ht="11.25">
      <c r="C106" s="7"/>
    </row>
    <row r="107" ht="11.25">
      <c r="C107" s="7"/>
    </row>
    <row r="108" ht="11.25">
      <c r="C108" s="7"/>
    </row>
    <row r="109" ht="11.25">
      <c r="C109" s="7"/>
    </row>
    <row r="110" ht="11.25">
      <c r="C110" s="7"/>
    </row>
    <row r="111" ht="11.25">
      <c r="C111" s="7"/>
    </row>
    <row r="112" ht="11.25">
      <c r="C112" s="7"/>
    </row>
    <row r="113" ht="11.25">
      <c r="C113" s="7"/>
    </row>
    <row r="114" ht="11.25">
      <c r="C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34" ht="11.25">
      <c r="C134" s="7"/>
    </row>
    <row r="135" ht="11.25">
      <c r="C135" s="7"/>
    </row>
    <row r="136" ht="11.25">
      <c r="C136" s="7"/>
    </row>
    <row r="137" ht="11.25">
      <c r="C137" s="7"/>
    </row>
    <row r="138" ht="11.25">
      <c r="C138" s="7"/>
    </row>
    <row r="139" ht="11.25">
      <c r="C139" s="7"/>
    </row>
    <row r="140" ht="11.25">
      <c r="C140" s="7"/>
    </row>
    <row r="141" ht="11.25">
      <c r="C141" s="7"/>
    </row>
    <row r="142" ht="11.25">
      <c r="C142" s="7"/>
    </row>
    <row r="143" ht="11.25">
      <c r="C143" s="7"/>
    </row>
    <row r="144" ht="11.25">
      <c r="C144" s="7"/>
    </row>
    <row r="145" ht="11.25">
      <c r="C145" s="7"/>
    </row>
    <row r="146" ht="11.25">
      <c r="C146" s="7"/>
    </row>
    <row r="147" ht="11.25">
      <c r="C147" s="7"/>
    </row>
    <row r="148" ht="11.25">
      <c r="C148" s="7"/>
    </row>
    <row r="149" ht="11.25">
      <c r="C149" s="7"/>
    </row>
    <row r="150" ht="11.25">
      <c r="C150" s="7"/>
    </row>
    <row r="151" ht="11.25">
      <c r="C151" s="7"/>
    </row>
    <row r="152" ht="11.25">
      <c r="C152" s="7"/>
    </row>
    <row r="153" ht="11.25">
      <c r="C153" s="7"/>
    </row>
    <row r="154" ht="11.25">
      <c r="C154" s="7"/>
    </row>
    <row r="155" ht="11.25">
      <c r="C155" s="7"/>
    </row>
    <row r="156" ht="11.25">
      <c r="C156" s="7"/>
    </row>
    <row r="157" ht="11.25">
      <c r="C157" s="7"/>
    </row>
    <row r="158" ht="11.25">
      <c r="C158" s="7"/>
    </row>
    <row r="159" ht="11.25">
      <c r="C159" s="7"/>
    </row>
    <row r="160" ht="11.25">
      <c r="C160" s="7"/>
    </row>
    <row r="161" ht="11.25">
      <c r="C161" s="7"/>
    </row>
    <row r="162" ht="11.25">
      <c r="C162" s="7"/>
    </row>
    <row r="163" ht="11.25">
      <c r="C163" s="7"/>
    </row>
    <row r="164" ht="11.25">
      <c r="C164" s="7"/>
    </row>
    <row r="165" ht="11.25">
      <c r="C165" s="7"/>
    </row>
    <row r="166" ht="11.25">
      <c r="C166" s="7"/>
    </row>
    <row r="167" ht="11.25">
      <c r="C167" s="7"/>
    </row>
    <row r="168" ht="11.25">
      <c r="C168" s="7"/>
    </row>
    <row r="169" ht="11.25">
      <c r="C169" s="7"/>
    </row>
    <row r="170" ht="11.25">
      <c r="C170" s="7"/>
    </row>
    <row r="171" ht="11.25">
      <c r="C171" s="7"/>
    </row>
    <row r="172" ht="11.25">
      <c r="C172" s="7"/>
    </row>
    <row r="173" ht="11.25">
      <c r="C173" s="7"/>
    </row>
    <row r="174" ht="11.25">
      <c r="C174" s="7"/>
    </row>
    <row r="175" ht="11.25">
      <c r="C175" s="7"/>
    </row>
    <row r="176" ht="11.25">
      <c r="C176" s="7"/>
    </row>
    <row r="177" ht="11.25">
      <c r="C177" s="7"/>
    </row>
    <row r="178" ht="11.25">
      <c r="C178" s="7"/>
    </row>
    <row r="179" ht="11.25">
      <c r="C179" s="7"/>
    </row>
    <row r="180" ht="11.25">
      <c r="C180" s="7"/>
    </row>
    <row r="181" ht="11.25">
      <c r="C181" s="7"/>
    </row>
    <row r="182" ht="11.25">
      <c r="C182" s="7"/>
    </row>
    <row r="183" ht="11.25">
      <c r="C183" s="7"/>
    </row>
    <row r="184" ht="11.25">
      <c r="C184" s="7"/>
    </row>
    <row r="185" ht="11.25">
      <c r="C185" s="7"/>
    </row>
    <row r="186" ht="11.25">
      <c r="C186" s="7"/>
    </row>
    <row r="187" ht="11.25">
      <c r="C187" s="7"/>
    </row>
    <row r="188" ht="11.25">
      <c r="C188" s="7"/>
    </row>
    <row r="189" ht="11.25">
      <c r="C189" s="7"/>
    </row>
    <row r="190" ht="11.25">
      <c r="C190" s="7"/>
    </row>
    <row r="191" ht="11.25">
      <c r="C191" s="7"/>
    </row>
    <row r="192" ht="11.25">
      <c r="C192" s="7"/>
    </row>
    <row r="193" ht="11.25">
      <c r="C193" s="7"/>
    </row>
    <row r="194" ht="11.25">
      <c r="C194" s="7"/>
    </row>
    <row r="195" ht="11.25">
      <c r="C195" s="7"/>
    </row>
    <row r="196" ht="11.25">
      <c r="C196" s="7"/>
    </row>
    <row r="197" ht="11.25">
      <c r="C197" s="7"/>
    </row>
    <row r="198" ht="11.25">
      <c r="C198" s="7"/>
    </row>
    <row r="199" ht="11.25">
      <c r="C199" s="7"/>
    </row>
    <row r="200" ht="11.25">
      <c r="C200" s="7"/>
    </row>
    <row r="201" ht="11.25">
      <c r="C201" s="7"/>
    </row>
    <row r="202" ht="11.25">
      <c r="C202" s="7"/>
    </row>
    <row r="203" ht="11.25">
      <c r="C203" s="7"/>
    </row>
    <row r="204" ht="11.25">
      <c r="C204" s="7"/>
    </row>
    <row r="205" ht="11.25">
      <c r="C205" s="7"/>
    </row>
    <row r="206" ht="11.25">
      <c r="C206" s="7"/>
    </row>
    <row r="207" ht="11.25">
      <c r="C207" s="7"/>
    </row>
    <row r="208" ht="11.25">
      <c r="C208" s="7"/>
    </row>
    <row r="209" ht="11.25">
      <c r="C209" s="7"/>
    </row>
    <row r="210" ht="11.25">
      <c r="C210" s="7"/>
    </row>
    <row r="211" ht="11.25">
      <c r="C211" s="7"/>
    </row>
    <row r="212" ht="11.25">
      <c r="C212" s="7"/>
    </row>
    <row r="213" ht="11.25">
      <c r="C213" s="7"/>
    </row>
    <row r="214" ht="11.25">
      <c r="C214" s="7"/>
    </row>
    <row r="215" ht="11.25">
      <c r="C215" s="7"/>
    </row>
    <row r="216" ht="11.25">
      <c r="C216" s="7"/>
    </row>
    <row r="217" ht="11.25">
      <c r="C217" s="7"/>
    </row>
    <row r="218" ht="11.25">
      <c r="C218" s="7"/>
    </row>
    <row r="219" ht="11.25">
      <c r="C219" s="7"/>
    </row>
    <row r="220" ht="11.25">
      <c r="C220" s="7"/>
    </row>
    <row r="221" ht="11.25">
      <c r="C221" s="7"/>
    </row>
    <row r="222" ht="11.25">
      <c r="C222" s="7"/>
    </row>
    <row r="223" ht="11.25">
      <c r="C223" s="7"/>
    </row>
    <row r="224" ht="11.25">
      <c r="C224" s="7"/>
    </row>
    <row r="225" ht="11.25">
      <c r="C225" s="7"/>
    </row>
    <row r="226" ht="11.25">
      <c r="C226" s="7"/>
    </row>
    <row r="227" ht="11.25">
      <c r="C227" s="7"/>
    </row>
    <row r="228" ht="11.25">
      <c r="C228" s="7"/>
    </row>
    <row r="229" ht="11.25">
      <c r="C229" s="7"/>
    </row>
    <row r="230" ht="11.25">
      <c r="C230" s="7"/>
    </row>
    <row r="231" ht="11.25">
      <c r="C231" s="7"/>
    </row>
    <row r="232" ht="11.25">
      <c r="C232" s="7"/>
    </row>
    <row r="233" ht="11.25">
      <c r="C233" s="7"/>
    </row>
    <row r="234" ht="11.25">
      <c r="C234" s="7"/>
    </row>
    <row r="235" ht="11.25">
      <c r="C235" s="7"/>
    </row>
    <row r="236" ht="11.25">
      <c r="C236" s="7"/>
    </row>
    <row r="237" ht="11.25">
      <c r="C237" s="7"/>
    </row>
    <row r="238" ht="11.25">
      <c r="C238" s="7"/>
    </row>
    <row r="239" ht="11.25">
      <c r="C239" s="7"/>
    </row>
    <row r="240" ht="11.25">
      <c r="C240" s="7"/>
    </row>
    <row r="241" ht="11.25">
      <c r="C241" s="7"/>
    </row>
    <row r="242" ht="11.25">
      <c r="C242" s="7"/>
    </row>
    <row r="243" ht="11.25">
      <c r="C243" s="7"/>
    </row>
    <row r="244" ht="11.25">
      <c r="C244" s="7"/>
    </row>
    <row r="245" ht="11.25">
      <c r="C245" s="7"/>
    </row>
    <row r="246" ht="11.25">
      <c r="C246" s="7"/>
    </row>
    <row r="247" ht="11.25">
      <c r="C247" s="7"/>
    </row>
    <row r="248" ht="11.25">
      <c r="C248" s="7"/>
    </row>
    <row r="249" ht="11.25">
      <c r="C249" s="7"/>
    </row>
    <row r="250" ht="11.25">
      <c r="C250" s="7"/>
    </row>
    <row r="251" ht="11.25">
      <c r="C251" s="7"/>
    </row>
    <row r="252" ht="11.25">
      <c r="C252" s="7"/>
    </row>
    <row r="253" ht="11.25">
      <c r="C253" s="7"/>
    </row>
  </sheetData>
  <sheetProtection/>
  <mergeCells count="6">
    <mergeCell ref="B1:M1"/>
    <mergeCell ref="B2:M2"/>
    <mergeCell ref="B3:M3"/>
    <mergeCell ref="B4:M4"/>
    <mergeCell ref="B5:M5"/>
    <mergeCell ref="B6:M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B1:AE253"/>
  <sheetViews>
    <sheetView zoomScalePageLayoutView="0" workbookViewId="0" topLeftCell="A1">
      <pane xSplit="4" ySplit="9" topLeftCell="E29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B40" sqref="B40"/>
    </sheetView>
  </sheetViews>
  <sheetFormatPr defaultColWidth="9.140625" defaultRowHeight="12.75"/>
  <cols>
    <col min="1" max="1" width="1.57421875" style="2" customWidth="1"/>
    <col min="2" max="2" width="39.140625" style="2" customWidth="1"/>
    <col min="3" max="3" width="10.57421875" style="2" hidden="1" customWidth="1"/>
    <col min="4" max="4" width="2.57421875" style="2" customWidth="1"/>
    <col min="5" max="5" width="11.57421875" style="2" customWidth="1"/>
    <col min="6" max="6" width="0.85546875" style="2" customWidth="1"/>
    <col min="7" max="7" width="11.57421875" style="2" customWidth="1"/>
    <col min="8" max="8" width="0.85546875" style="2" customWidth="1"/>
    <col min="9" max="9" width="10.57421875" style="67" bestFit="1" customWidth="1"/>
    <col min="10" max="10" width="0.85546875" style="2" customWidth="1"/>
    <col min="11" max="11" width="11.57421875" style="2" customWidth="1"/>
    <col min="12" max="12" width="0.85546875" style="2" customWidth="1"/>
    <col min="13" max="13" width="11.57421875" style="2" customWidth="1"/>
    <col min="14" max="14" width="1.57421875" style="3" customWidth="1"/>
    <col min="15" max="15" width="14.00390625" style="3" customWidth="1"/>
    <col min="16" max="16" width="4.421875" style="3" customWidth="1"/>
    <col min="17" max="17" width="18.8515625" style="3" hidden="1" customWidth="1"/>
    <col min="18" max="18" width="4.00390625" style="3" hidden="1" customWidth="1"/>
    <col min="19" max="19" width="15.421875" style="3" hidden="1" customWidth="1"/>
    <col min="20" max="31" width="0" style="2" hidden="1" customWidth="1"/>
    <col min="32" max="16384" width="9.140625" style="2" customWidth="1"/>
  </cols>
  <sheetData>
    <row r="1" spans="2:20" ht="12.75" customHeigh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6"/>
      <c r="O1" s="6"/>
      <c r="P1" s="6"/>
      <c r="Q1" s="6"/>
      <c r="R1" s="6"/>
      <c r="S1" s="6"/>
      <c r="T1" s="11"/>
    </row>
    <row r="2" spans="2:20" ht="12.75" customHeight="1">
      <c r="B2" s="212" t="s">
        <v>63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"/>
      <c r="O2" s="6"/>
      <c r="P2" s="6"/>
      <c r="Q2" s="6"/>
      <c r="R2" s="6"/>
      <c r="S2" s="6"/>
      <c r="T2" s="11"/>
    </row>
    <row r="3" spans="2:20" ht="12.75" customHeight="1">
      <c r="B3" s="212" t="s">
        <v>53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6"/>
      <c r="O3" s="6"/>
      <c r="P3" s="6"/>
      <c r="Q3" s="6"/>
      <c r="R3" s="6"/>
      <c r="S3" s="6"/>
      <c r="T3" s="11"/>
    </row>
    <row r="4" spans="2:20" ht="12.75" customHeight="1">
      <c r="B4" s="213" t="s">
        <v>29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64"/>
      <c r="O4" s="64"/>
      <c r="P4" s="64"/>
      <c r="Q4" s="64"/>
      <c r="R4" s="64"/>
      <c r="S4" s="64"/>
      <c r="T4" s="62"/>
    </row>
    <row r="5" spans="2:20" ht="12.75" customHeight="1">
      <c r="B5" s="214" t="s">
        <v>123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65"/>
      <c r="O5" s="65"/>
      <c r="P5" s="65"/>
      <c r="Q5" s="65"/>
      <c r="R5" s="65"/>
      <c r="S5" s="65"/>
      <c r="T5" s="63"/>
    </row>
    <row r="6" spans="2:20" ht="12.75" customHeight="1">
      <c r="B6" s="215" t="s">
        <v>59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66"/>
      <c r="O6" s="66"/>
      <c r="P6" s="66"/>
      <c r="Q6" s="66"/>
      <c r="R6" s="66"/>
      <c r="S6" s="66"/>
      <c r="T6" s="12"/>
    </row>
    <row r="7" spans="2:7" ht="12.75" customHeight="1">
      <c r="B7" s="12"/>
      <c r="C7" s="12"/>
      <c r="D7" s="12"/>
      <c r="E7" s="12"/>
      <c r="F7" s="12"/>
      <c r="G7" s="12"/>
    </row>
    <row r="8" spans="3:29" ht="11.25">
      <c r="C8" s="11" t="s">
        <v>40</v>
      </c>
      <c r="D8" s="11"/>
      <c r="E8" s="11"/>
      <c r="G8" s="11"/>
      <c r="I8" s="169"/>
      <c r="K8" s="11" t="s">
        <v>37</v>
      </c>
      <c r="M8" s="11"/>
      <c r="O8" s="6"/>
      <c r="Q8" s="2"/>
      <c r="R8" s="2"/>
      <c r="S8" s="11" t="s">
        <v>32</v>
      </c>
      <c r="U8" s="11" t="s">
        <v>66</v>
      </c>
      <c r="W8" s="11" t="s">
        <v>36</v>
      </c>
      <c r="Y8" s="11" t="s">
        <v>68</v>
      </c>
      <c r="AA8" s="11" t="s">
        <v>37</v>
      </c>
      <c r="AC8" s="11"/>
    </row>
    <row r="9" spans="3:29" ht="11.25">
      <c r="C9" s="4" t="s">
        <v>41</v>
      </c>
      <c r="D9" s="11"/>
      <c r="E9" s="4" t="s">
        <v>104</v>
      </c>
      <c r="G9" s="4" t="s">
        <v>105</v>
      </c>
      <c r="I9" s="188" t="s">
        <v>106</v>
      </c>
      <c r="K9" s="4" t="s">
        <v>38</v>
      </c>
      <c r="L9" s="3"/>
      <c r="M9" s="4" t="s">
        <v>39</v>
      </c>
      <c r="O9" s="6"/>
      <c r="Q9" s="4" t="s">
        <v>42</v>
      </c>
      <c r="R9" s="2"/>
      <c r="S9" s="4" t="s">
        <v>33</v>
      </c>
      <c r="U9" s="4" t="s">
        <v>67</v>
      </c>
      <c r="W9" s="4" t="s">
        <v>10</v>
      </c>
      <c r="Y9" s="4" t="s">
        <v>10</v>
      </c>
      <c r="AA9" s="4" t="s">
        <v>38</v>
      </c>
      <c r="AB9" s="3"/>
      <c r="AC9" s="4" t="s">
        <v>39</v>
      </c>
    </row>
    <row r="10" spans="2:29" ht="11.25">
      <c r="B10" s="5" t="s">
        <v>9</v>
      </c>
      <c r="C10" s="7"/>
      <c r="E10" s="7"/>
      <c r="G10" s="7"/>
      <c r="K10" s="7"/>
      <c r="M10" s="7"/>
      <c r="O10" s="9"/>
      <c r="Q10" s="7"/>
      <c r="R10" s="2"/>
      <c r="S10" s="7"/>
      <c r="U10" s="7"/>
      <c r="W10" s="7"/>
      <c r="Y10" s="7"/>
      <c r="AA10" s="7"/>
      <c r="AC10" s="7"/>
    </row>
    <row r="11" spans="2:31" s="13" customFormat="1" ht="11.25">
      <c r="B11" s="37" t="s">
        <v>10</v>
      </c>
      <c r="C11" s="10">
        <v>0</v>
      </c>
      <c r="D11" s="10"/>
      <c r="E11" s="10">
        <v>0</v>
      </c>
      <c r="F11" s="10"/>
      <c r="G11" s="10">
        <v>45625</v>
      </c>
      <c r="H11" s="10"/>
      <c r="I11" s="180">
        <v>0</v>
      </c>
      <c r="J11" s="10"/>
      <c r="K11" s="10">
        <v>0</v>
      </c>
      <c r="L11" s="10"/>
      <c r="M11" s="10">
        <f>SUM(E11:K11)</f>
        <v>45625</v>
      </c>
      <c r="N11" s="40"/>
      <c r="O11" s="40"/>
      <c r="P11" s="40"/>
      <c r="Q11" s="10">
        <v>0</v>
      </c>
      <c r="R11" s="10"/>
      <c r="S11" s="10">
        <v>0</v>
      </c>
      <c r="T11" s="10"/>
      <c r="U11" s="10">
        <v>0</v>
      </c>
      <c r="V11" s="10"/>
      <c r="W11" s="10">
        <v>15675.35863</v>
      </c>
      <c r="X11" s="10"/>
      <c r="Y11" s="10">
        <v>76905.10454</v>
      </c>
      <c r="Z11" s="10"/>
      <c r="AA11" s="10">
        <v>-12518</v>
      </c>
      <c r="AB11" s="10"/>
      <c r="AC11" s="10">
        <v>80062.46317</v>
      </c>
      <c r="AE11" s="13" t="e">
        <v>#REF!</v>
      </c>
    </row>
    <row r="12" spans="2:31" ht="11.25">
      <c r="B12" s="37" t="s">
        <v>11</v>
      </c>
      <c r="C12" s="7">
        <v>0</v>
      </c>
      <c r="E12" s="7">
        <v>36500</v>
      </c>
      <c r="G12" s="7">
        <v>0</v>
      </c>
      <c r="I12" s="67">
        <v>0</v>
      </c>
      <c r="K12" s="7">
        <v>-36500</v>
      </c>
      <c r="M12" s="10">
        <f>SUM(E12:K12)</f>
        <v>0</v>
      </c>
      <c r="O12" s="9"/>
      <c r="Q12" s="7">
        <v>0</v>
      </c>
      <c r="R12" s="2">
        <v>0</v>
      </c>
      <c r="S12" s="7">
        <v>0</v>
      </c>
      <c r="U12" s="7">
        <v>39751.23763</v>
      </c>
      <c r="W12" s="7">
        <v>1062.4007</v>
      </c>
      <c r="Y12" s="7">
        <v>17063.13316</v>
      </c>
      <c r="AA12" s="7">
        <v>-42742.23763</v>
      </c>
      <c r="AC12" s="7">
        <v>15134.533859999996</v>
      </c>
      <c r="AE12" s="13" t="e">
        <v>#REF!</v>
      </c>
    </row>
    <row r="13" spans="2:31" ht="11.25">
      <c r="B13" s="37" t="s">
        <v>12</v>
      </c>
      <c r="C13" s="7">
        <v>0</v>
      </c>
      <c r="E13" s="7">
        <v>0</v>
      </c>
      <c r="G13" s="7">
        <v>13729.265663825</v>
      </c>
      <c r="I13" s="67">
        <v>0</v>
      </c>
      <c r="K13" s="7">
        <v>0</v>
      </c>
      <c r="M13" s="10">
        <f>SUM(E13:K13)</f>
        <v>13729.265663825</v>
      </c>
      <c r="O13" s="9"/>
      <c r="Q13" s="7">
        <v>0</v>
      </c>
      <c r="R13" s="2">
        <v>0</v>
      </c>
      <c r="S13" s="7">
        <v>0</v>
      </c>
      <c r="U13" s="7">
        <v>0</v>
      </c>
      <c r="W13" s="7">
        <v>357.25397</v>
      </c>
      <c r="Y13" s="7">
        <v>3478.4172000000003</v>
      </c>
      <c r="AA13" s="7">
        <v>-218</v>
      </c>
      <c r="AC13" s="7">
        <v>3617.6711700000005</v>
      </c>
      <c r="AE13" s="13" t="e">
        <v>#REF!</v>
      </c>
    </row>
    <row r="14" spans="2:31" ht="11.25">
      <c r="B14" s="2" t="s">
        <v>64</v>
      </c>
      <c r="C14" s="14">
        <v>0</v>
      </c>
      <c r="E14" s="14">
        <f>SUM(E11:E13)</f>
        <v>36500</v>
      </c>
      <c r="F14" s="14">
        <f aca="true" t="shared" si="0" ref="F14:M14">SUM(F11:F13)</f>
        <v>0</v>
      </c>
      <c r="G14" s="14">
        <f t="shared" si="0"/>
        <v>59354.265663825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-36500</v>
      </c>
      <c r="L14" s="14">
        <f t="shared" si="0"/>
        <v>0</v>
      </c>
      <c r="M14" s="14">
        <f t="shared" si="0"/>
        <v>59354.265663825</v>
      </c>
      <c r="O14" s="9"/>
      <c r="Q14" s="14">
        <v>248.339</v>
      </c>
      <c r="R14" s="2">
        <v>0</v>
      </c>
      <c r="S14" s="14">
        <v>0</v>
      </c>
      <c r="U14" s="14">
        <v>39823.5831</v>
      </c>
      <c r="W14" s="14">
        <v>17095.013300000002</v>
      </c>
      <c r="Y14" s="14">
        <v>108823.46646</v>
      </c>
      <c r="AA14" s="14">
        <v>-55555.5831</v>
      </c>
      <c r="AC14" s="14">
        <v>110434.81876000001</v>
      </c>
      <c r="AE14" s="13" t="e">
        <v>#REF!</v>
      </c>
    </row>
    <row r="15" spans="2:31" ht="11.25">
      <c r="B15" s="5" t="s">
        <v>13</v>
      </c>
      <c r="C15" s="7"/>
      <c r="E15" s="7"/>
      <c r="G15" s="7"/>
      <c r="K15" s="7"/>
      <c r="M15" s="7"/>
      <c r="O15" s="9"/>
      <c r="Q15" s="7"/>
      <c r="R15" s="2">
        <v>0</v>
      </c>
      <c r="S15" s="7"/>
      <c r="U15" s="7"/>
      <c r="W15" s="7"/>
      <c r="Y15" s="7"/>
      <c r="AA15" s="7"/>
      <c r="AC15" s="7"/>
      <c r="AE15" s="13" t="e">
        <v>#REF!</v>
      </c>
    </row>
    <row r="16" spans="2:31" ht="11.25">
      <c r="B16" s="37" t="s">
        <v>14</v>
      </c>
      <c r="C16" s="7">
        <v>0</v>
      </c>
      <c r="E16" s="7">
        <v>7300</v>
      </c>
      <c r="G16" s="7">
        <v>40150</v>
      </c>
      <c r="I16" s="67">
        <v>0</v>
      </c>
      <c r="K16" s="7">
        <v>-36500</v>
      </c>
      <c r="M16" s="67">
        <v>10950</v>
      </c>
      <c r="O16" s="9"/>
      <c r="Q16" s="7">
        <v>335.24284</v>
      </c>
      <c r="R16" s="2">
        <v>0</v>
      </c>
      <c r="S16" s="7">
        <v>0</v>
      </c>
      <c r="U16" s="7">
        <v>13728.64205</v>
      </c>
      <c r="W16" s="7">
        <v>18257.41827</v>
      </c>
      <c r="Y16" s="7">
        <v>125180.88843</v>
      </c>
      <c r="AA16" s="7">
        <v>-55555.5831</v>
      </c>
      <c r="AC16" s="7">
        <v>101946.60849</v>
      </c>
      <c r="AE16" s="13" t="e">
        <v>#REF!</v>
      </c>
    </row>
    <row r="17" spans="2:31" ht="11.25">
      <c r="B17" s="37" t="s">
        <v>98</v>
      </c>
      <c r="C17" s="7">
        <v>0</v>
      </c>
      <c r="E17" s="7">
        <v>12775</v>
      </c>
      <c r="G17" s="7">
        <v>9051.146949711585</v>
      </c>
      <c r="I17" s="67">
        <v>0</v>
      </c>
      <c r="K17" s="7">
        <v>0</v>
      </c>
      <c r="M17" s="67">
        <v>21826.146949711583</v>
      </c>
      <c r="O17" s="9"/>
      <c r="Q17" s="7">
        <v>43.49062</v>
      </c>
      <c r="R17" s="2"/>
      <c r="S17" s="7">
        <v>15.11753</v>
      </c>
      <c r="U17" s="7">
        <v>22556.56497</v>
      </c>
      <c r="W17" s="7">
        <v>675.93506</v>
      </c>
      <c r="Y17" s="7">
        <v>18525.82999</v>
      </c>
      <c r="AA17" s="7">
        <v>0</v>
      </c>
      <c r="AC17" s="7">
        <v>41816.938169999994</v>
      </c>
      <c r="AE17" s="13" t="e">
        <v>#REF!</v>
      </c>
    </row>
    <row r="18" spans="2:31" ht="11.25">
      <c r="B18" s="2" t="s">
        <v>64</v>
      </c>
      <c r="C18" s="14">
        <v>0</v>
      </c>
      <c r="E18" s="14">
        <f>SUM(E16:E17)</f>
        <v>20075</v>
      </c>
      <c r="F18" s="14">
        <f aca="true" t="shared" si="1" ref="F18:M18">SUM(F16:F17)</f>
        <v>0</v>
      </c>
      <c r="G18" s="14">
        <f t="shared" si="1"/>
        <v>49201.14694971158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-36500</v>
      </c>
      <c r="L18" s="14">
        <f t="shared" si="1"/>
        <v>0</v>
      </c>
      <c r="M18" s="14">
        <f t="shared" si="1"/>
        <v>32776.14694971158</v>
      </c>
      <c r="O18" s="9"/>
      <c r="Q18" s="14">
        <v>378.73346</v>
      </c>
      <c r="R18" s="2">
        <v>0</v>
      </c>
      <c r="S18" s="14">
        <v>15.11753</v>
      </c>
      <c r="U18" s="14">
        <v>36285.20702</v>
      </c>
      <c r="W18" s="14">
        <v>19347.830779999997</v>
      </c>
      <c r="Y18" s="14">
        <v>146088.25905</v>
      </c>
      <c r="AA18" s="14">
        <v>-55555.5831</v>
      </c>
      <c r="AC18" s="14">
        <v>146559.56474</v>
      </c>
      <c r="AE18" s="13" t="e">
        <v>#REF!</v>
      </c>
    </row>
    <row r="19" spans="2:31" ht="18" customHeight="1">
      <c r="B19" s="38" t="s">
        <v>15</v>
      </c>
      <c r="C19" s="7">
        <v>0</v>
      </c>
      <c r="E19" s="7">
        <f aca="true" t="shared" si="2" ref="E19:K19">E14-E18</f>
        <v>16425</v>
      </c>
      <c r="F19" s="7">
        <f t="shared" si="2"/>
        <v>0</v>
      </c>
      <c r="G19" s="7">
        <f t="shared" si="2"/>
        <v>10153.118714113414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M19" s="7">
        <v>26578.118714113414</v>
      </c>
      <c r="O19" s="9"/>
      <c r="Q19" s="7">
        <v>-130.39445999999998</v>
      </c>
      <c r="R19" s="2">
        <v>0</v>
      </c>
      <c r="S19" s="7">
        <v>-15.11753</v>
      </c>
      <c r="U19" s="7">
        <v>3538.376080000002</v>
      </c>
      <c r="W19" s="7">
        <v>-2252.8174799999942</v>
      </c>
      <c r="Y19" s="7">
        <v>-37264.79259</v>
      </c>
      <c r="AA19" s="7">
        <v>0</v>
      </c>
      <c r="AC19" s="7">
        <v>-36124.74597999999</v>
      </c>
      <c r="AE19" s="13" t="e">
        <v>#REF!</v>
      </c>
    </row>
    <row r="20" spans="2:31" ht="12" customHeight="1">
      <c r="B20" s="37"/>
      <c r="C20" s="7"/>
      <c r="E20" s="7"/>
      <c r="G20" s="7"/>
      <c r="K20" s="7"/>
      <c r="M20" s="67"/>
      <c r="O20" s="9"/>
      <c r="Q20" s="7"/>
      <c r="R20" s="2"/>
      <c r="S20" s="7"/>
      <c r="U20" s="7"/>
      <c r="W20" s="7"/>
      <c r="Y20" s="7"/>
      <c r="AA20" s="7"/>
      <c r="AC20" s="7"/>
      <c r="AE20" s="13"/>
    </row>
    <row r="21" spans="2:31" ht="12" thickBot="1">
      <c r="B21" s="5" t="s">
        <v>16</v>
      </c>
      <c r="C21" s="41">
        <v>0</v>
      </c>
      <c r="E21" s="41">
        <f>E19</f>
        <v>16425</v>
      </c>
      <c r="F21" s="41">
        <f>F19</f>
        <v>0</v>
      </c>
      <c r="G21" s="41">
        <f>G19</f>
        <v>10153.118714113414</v>
      </c>
      <c r="H21" s="41">
        <f>H19</f>
        <v>0</v>
      </c>
      <c r="I21" s="41">
        <f>I14-I19</f>
        <v>0</v>
      </c>
      <c r="J21" s="41">
        <f>J14-J19</f>
        <v>0</v>
      </c>
      <c r="K21" s="41">
        <v>0</v>
      </c>
      <c r="L21" s="41">
        <f>L14-L19</f>
        <v>0</v>
      </c>
      <c r="M21" s="41">
        <f>M19</f>
        <v>26578.118714113414</v>
      </c>
      <c r="O21" s="42"/>
      <c r="Q21" s="41">
        <v>-130.39445999999998</v>
      </c>
      <c r="R21" s="2">
        <v>0</v>
      </c>
      <c r="S21" s="41">
        <v>-15.11753</v>
      </c>
      <c r="U21" s="41">
        <v>3538.376080000002</v>
      </c>
      <c r="W21" s="41">
        <v>-2252.8174799999942</v>
      </c>
      <c r="Y21" s="41">
        <v>-37323.731239999994</v>
      </c>
      <c r="AA21" s="41">
        <v>0</v>
      </c>
      <c r="AC21" s="41">
        <v>-36183.68462999999</v>
      </c>
      <c r="AE21" s="13" t="e">
        <v>#REF!</v>
      </c>
    </row>
    <row r="22" spans="2:31" ht="11.25">
      <c r="B22" s="5"/>
      <c r="C22" s="42"/>
      <c r="E22" s="42"/>
      <c r="G22" s="42"/>
      <c r="K22" s="42"/>
      <c r="M22" s="42"/>
      <c r="O22" s="42"/>
      <c r="Q22" s="42"/>
      <c r="R22" s="2"/>
      <c r="S22" s="42"/>
      <c r="U22" s="42"/>
      <c r="W22" s="42"/>
      <c r="Y22" s="42"/>
      <c r="AA22" s="42"/>
      <c r="AC22" s="42"/>
      <c r="AE22" s="13"/>
    </row>
    <row r="23" spans="2:31" ht="11.25">
      <c r="B23" s="37" t="s">
        <v>97</v>
      </c>
      <c r="C23" s="7">
        <v>0</v>
      </c>
      <c r="E23" s="7">
        <v>11346.43</v>
      </c>
      <c r="G23" s="7">
        <v>5143.795</v>
      </c>
      <c r="K23" s="7">
        <v>0</v>
      </c>
      <c r="M23" s="7">
        <f>E23+G23</f>
        <v>16490.225</v>
      </c>
      <c r="O23" s="9"/>
      <c r="Q23" s="7">
        <v>0</v>
      </c>
      <c r="R23" s="2"/>
      <c r="S23" s="7">
        <v>0</v>
      </c>
      <c r="U23" s="7">
        <v>4331.88332</v>
      </c>
      <c r="W23" s="7">
        <v>688.743</v>
      </c>
      <c r="Y23" s="7">
        <v>9578.93204</v>
      </c>
      <c r="AA23" s="7">
        <v>0</v>
      </c>
      <c r="AC23" s="7">
        <v>14599.558359999999</v>
      </c>
      <c r="AE23" s="13" t="e">
        <v>#REF!</v>
      </c>
    </row>
    <row r="24" spans="2:31" ht="11.25">
      <c r="B24" s="2" t="s">
        <v>64</v>
      </c>
      <c r="C24" s="14">
        <v>0</v>
      </c>
      <c r="E24" s="14">
        <f>E23</f>
        <v>11346.43</v>
      </c>
      <c r="F24" s="14">
        <f>F23</f>
        <v>0</v>
      </c>
      <c r="G24" s="14">
        <f>G23</f>
        <v>5143.795</v>
      </c>
      <c r="I24" s="170">
        <v>0</v>
      </c>
      <c r="K24" s="14">
        <v>0</v>
      </c>
      <c r="M24" s="14">
        <f>E24+G24</f>
        <v>16490.225</v>
      </c>
      <c r="O24" s="9"/>
      <c r="Q24" s="14">
        <v>0</v>
      </c>
      <c r="R24" s="2"/>
      <c r="S24" s="14">
        <v>0</v>
      </c>
      <c r="U24" s="14">
        <v>8126.667659999999</v>
      </c>
      <c r="W24" s="14">
        <v>688.743</v>
      </c>
      <c r="Y24" s="14">
        <v>9578.93204</v>
      </c>
      <c r="AA24" s="14">
        <v>0</v>
      </c>
      <c r="AC24" s="14">
        <v>18394.342699999997</v>
      </c>
      <c r="AE24" s="13" t="e">
        <v>#REF!</v>
      </c>
    </row>
    <row r="25" spans="2:31" ht="21" customHeight="1">
      <c r="B25" s="38" t="s">
        <v>17</v>
      </c>
      <c r="C25" s="7">
        <v>0</v>
      </c>
      <c r="E25" s="49">
        <f>E21-E24</f>
        <v>5078.57</v>
      </c>
      <c r="F25" s="49">
        <f aca="true" t="shared" si="3" ref="F25:M25">F21-F24</f>
        <v>0</v>
      </c>
      <c r="G25" s="49">
        <f t="shared" si="3"/>
        <v>5009.323714113414</v>
      </c>
      <c r="H25" s="49">
        <f t="shared" si="3"/>
        <v>0</v>
      </c>
      <c r="I25" s="49">
        <f t="shared" si="3"/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  <c r="M25" s="49">
        <f t="shared" si="3"/>
        <v>10087.893714113416</v>
      </c>
      <c r="O25" s="9"/>
      <c r="Q25" s="49">
        <v>-130.39445999999998</v>
      </c>
      <c r="R25" s="5">
        <v>0</v>
      </c>
      <c r="S25" s="49">
        <v>-15.11753</v>
      </c>
      <c r="T25" s="5"/>
      <c r="U25" s="49">
        <v>-4588.291579999997</v>
      </c>
      <c r="V25" s="5"/>
      <c r="W25" s="49">
        <v>-2941.560479999994</v>
      </c>
      <c r="X25" s="5"/>
      <c r="Y25" s="49">
        <v>-46902.66327999999</v>
      </c>
      <c r="Z25" s="49"/>
      <c r="AA25" s="49">
        <v>0</v>
      </c>
      <c r="AB25" s="5"/>
      <c r="AC25" s="49">
        <v>-54578.02732999998</v>
      </c>
      <c r="AE25" s="13" t="e">
        <v>#REF!</v>
      </c>
    </row>
    <row r="26" spans="2:31" ht="20.25" customHeight="1">
      <c r="B26" s="38" t="s">
        <v>18</v>
      </c>
      <c r="C26" s="7"/>
      <c r="E26" s="7"/>
      <c r="G26" s="7"/>
      <c r="K26" s="7"/>
      <c r="M26" s="7"/>
      <c r="O26" s="9"/>
      <c r="Q26" s="7"/>
      <c r="R26" s="2">
        <v>0</v>
      </c>
      <c r="S26" s="7"/>
      <c r="U26" s="7"/>
      <c r="W26" s="7"/>
      <c r="Y26" s="7"/>
      <c r="AA26" s="7"/>
      <c r="AC26" s="7"/>
      <c r="AE26" s="13" t="e">
        <v>#REF!</v>
      </c>
    </row>
    <row r="27" spans="2:31" ht="11.25">
      <c r="B27" s="43" t="s">
        <v>19</v>
      </c>
      <c r="C27" s="7">
        <v>0</v>
      </c>
      <c r="E27" s="7">
        <v>2608.2024300000003</v>
      </c>
      <c r="G27" s="7">
        <v>167.8701</v>
      </c>
      <c r="I27" s="67">
        <v>0</v>
      </c>
      <c r="K27" s="7">
        <v>0</v>
      </c>
      <c r="M27" s="7">
        <v>2776.0725300000004</v>
      </c>
      <c r="O27" s="9"/>
      <c r="Q27" s="7">
        <v>0</v>
      </c>
      <c r="R27" s="2">
        <v>0</v>
      </c>
      <c r="S27" s="7">
        <v>94.46722</v>
      </c>
      <c r="U27" s="7">
        <v>2608.2024300000003</v>
      </c>
      <c r="W27" s="7">
        <v>2.04591</v>
      </c>
      <c r="Y27" s="7">
        <v>165.8701</v>
      </c>
      <c r="AA27" s="7">
        <v>0</v>
      </c>
      <c r="AC27" s="7">
        <v>2870.58566</v>
      </c>
      <c r="AE27" s="13" t="e">
        <v>#REF!</v>
      </c>
    </row>
    <row r="28" spans="2:31" ht="11.25">
      <c r="B28" s="37" t="s">
        <v>20</v>
      </c>
      <c r="C28" s="7">
        <v>0</v>
      </c>
      <c r="E28" s="7">
        <f>-'Forest Co Notes'!AC12</f>
        <v>-27801.826771945198</v>
      </c>
      <c r="G28" s="7">
        <f>-SUM('MillCo Notes'!I46:I57)</f>
        <v>-3425.4999999999995</v>
      </c>
      <c r="I28" s="67">
        <f>-((SUM('MLC Note'!I90:I93)+'MLC Revolver'!AH12))</f>
        <v>-6104.386666666667</v>
      </c>
      <c r="K28" s="7">
        <v>0</v>
      </c>
      <c r="M28" s="7">
        <f>SUM(E28:K28)</f>
        <v>-37331.71343861186</v>
      </c>
      <c r="O28" s="9"/>
      <c r="Q28" s="7">
        <v>0</v>
      </c>
      <c r="R28" s="2">
        <v>0</v>
      </c>
      <c r="S28" s="7">
        <v>0</v>
      </c>
      <c r="U28" s="7">
        <v>-56575.36958</v>
      </c>
      <c r="W28" s="7">
        <v>-0.044039999999999996</v>
      </c>
      <c r="Y28" s="7">
        <v>-16775.2474</v>
      </c>
      <c r="AA28" s="7">
        <v>0</v>
      </c>
      <c r="AC28" s="7">
        <v>-73350.66102</v>
      </c>
      <c r="AE28" s="13" t="e">
        <v>#REF!</v>
      </c>
    </row>
    <row r="29" spans="3:31" ht="11.25">
      <c r="C29" s="14">
        <v>0</v>
      </c>
      <c r="E29" s="14">
        <f>SUM(E27:E28)</f>
        <v>-25193.624341945197</v>
      </c>
      <c r="G29" s="14">
        <f>SUM(G27:G28)</f>
        <v>-3257.6298999999995</v>
      </c>
      <c r="I29" s="170">
        <f>SUM(I27:I28)</f>
        <v>-6104.386666666667</v>
      </c>
      <c r="K29" s="14">
        <v>0</v>
      </c>
      <c r="M29" s="14">
        <f>SUM(E29:K29)</f>
        <v>-34555.640908611866</v>
      </c>
      <c r="O29" s="9"/>
      <c r="Q29" s="14">
        <v>0</v>
      </c>
      <c r="R29" s="2">
        <v>0</v>
      </c>
      <c r="S29" s="14">
        <v>94.46722</v>
      </c>
      <c r="U29" s="14">
        <v>-55603.392850000004</v>
      </c>
      <c r="W29" s="14">
        <v>223.02408</v>
      </c>
      <c r="Y29" s="14">
        <v>-29138.535539999997</v>
      </c>
      <c r="AA29" s="14">
        <v>0</v>
      </c>
      <c r="AC29" s="14">
        <v>-84424.43708999999</v>
      </c>
      <c r="AE29" s="13" t="e">
        <v>#REF!</v>
      </c>
    </row>
    <row r="30" spans="2:31" ht="22.5">
      <c r="B30" s="44" t="s">
        <v>21</v>
      </c>
      <c r="C30" s="7">
        <v>0</v>
      </c>
      <c r="E30" s="49">
        <f>E25+E29</f>
        <v>-20115.054341945197</v>
      </c>
      <c r="F30" s="5"/>
      <c r="G30" s="49">
        <v>1795.7493696689698</v>
      </c>
      <c r="H30" s="5"/>
      <c r="I30" s="171">
        <f>I29</f>
        <v>-6104.386666666667</v>
      </c>
      <c r="J30" s="5"/>
      <c r="K30" s="49">
        <v>0</v>
      </c>
      <c r="L30" s="5"/>
      <c r="M30" s="49">
        <f>E30+G30+I30</f>
        <v>-24423.691638942895</v>
      </c>
      <c r="O30" s="9"/>
      <c r="Q30" s="49">
        <v>-130.39445999999998</v>
      </c>
      <c r="R30" s="5">
        <v>0</v>
      </c>
      <c r="S30" s="49">
        <v>79.34969</v>
      </c>
      <c r="T30" s="5"/>
      <c r="U30" s="49">
        <v>-60191.68443</v>
      </c>
      <c r="V30" s="5"/>
      <c r="W30" s="49">
        <v>-2718.536399999994</v>
      </c>
      <c r="X30" s="5"/>
      <c r="Y30" s="49">
        <v>-76041.19881999999</v>
      </c>
      <c r="Z30" s="5"/>
      <c r="AA30" s="49">
        <v>0</v>
      </c>
      <c r="AB30" s="5"/>
      <c r="AC30" s="49">
        <v>-139002.46441999997</v>
      </c>
      <c r="AE30" s="13" t="e">
        <v>#REF!</v>
      </c>
    </row>
    <row r="31" spans="2:31" ht="18" customHeight="1">
      <c r="B31" s="38" t="s">
        <v>22</v>
      </c>
      <c r="C31" s="7">
        <v>0</v>
      </c>
      <c r="E31" s="7">
        <v>0</v>
      </c>
      <c r="G31" s="7">
        <v>10.761520000000019</v>
      </c>
      <c r="K31" s="7">
        <v>0</v>
      </c>
      <c r="M31" s="7">
        <v>10.761520000000019</v>
      </c>
      <c r="O31" s="9"/>
      <c r="Q31" s="7">
        <v>0</v>
      </c>
      <c r="R31" s="2"/>
      <c r="S31" s="7">
        <v>-0.8</v>
      </c>
      <c r="U31" s="7">
        <v>0</v>
      </c>
      <c r="W31" s="7">
        <v>-2163.811</v>
      </c>
      <c r="Y31" s="7">
        <v>2174.76152</v>
      </c>
      <c r="AA31" s="7">
        <v>0</v>
      </c>
      <c r="AC31" s="7">
        <v>10.150519999999688</v>
      </c>
      <c r="AE31" s="13" t="e">
        <v>#REF!</v>
      </c>
    </row>
    <row r="32" spans="2:31" ht="22.5">
      <c r="B32" s="44" t="s">
        <v>23</v>
      </c>
      <c r="C32" s="8">
        <v>0</v>
      </c>
      <c r="E32" s="55">
        <f>E30</f>
        <v>-20115.054341945197</v>
      </c>
      <c r="F32" s="5"/>
      <c r="G32" s="55">
        <v>1806.5108896689699</v>
      </c>
      <c r="H32" s="5"/>
      <c r="I32" s="172">
        <f>I30</f>
        <v>-6104.386666666667</v>
      </c>
      <c r="J32" s="5"/>
      <c r="K32" s="55">
        <v>0</v>
      </c>
      <c r="L32" s="5"/>
      <c r="M32" s="55">
        <f>E32+G32+I32</f>
        <v>-24412.930118942895</v>
      </c>
      <c r="O32" s="9"/>
      <c r="Q32" s="55">
        <v>-130.39445999999998</v>
      </c>
      <c r="R32" s="5"/>
      <c r="S32" s="55">
        <v>78.54969</v>
      </c>
      <c r="T32" s="5"/>
      <c r="U32" s="55">
        <v>-60191.68443</v>
      </c>
      <c r="V32" s="5"/>
      <c r="W32" s="55">
        <v>-4882.347399999994</v>
      </c>
      <c r="X32" s="5"/>
      <c r="Y32" s="55">
        <v>-73866.43729999999</v>
      </c>
      <c r="Z32" s="5"/>
      <c r="AA32" s="55">
        <v>0</v>
      </c>
      <c r="AB32" s="5"/>
      <c r="AC32" s="55">
        <v>-138992.31389999998</v>
      </c>
      <c r="AE32" s="13" t="e">
        <v>#REF!</v>
      </c>
    </row>
    <row r="33" spans="2:31" ht="11.25">
      <c r="B33" s="37"/>
      <c r="C33" s="7"/>
      <c r="E33" s="7"/>
      <c r="G33" s="7"/>
      <c r="K33" s="7"/>
      <c r="M33" s="7"/>
      <c r="O33" s="9"/>
      <c r="Q33" s="7"/>
      <c r="R33" s="2"/>
      <c r="S33" s="7"/>
      <c r="U33" s="7"/>
      <c r="W33" s="7"/>
      <c r="Y33" s="7"/>
      <c r="AA33" s="7"/>
      <c r="AC33" s="7"/>
      <c r="AE33" s="13"/>
    </row>
    <row r="34" spans="2:31" ht="11.25">
      <c r="B34" s="37"/>
      <c r="C34" s="7"/>
      <c r="E34" s="7"/>
      <c r="G34" s="7"/>
      <c r="K34" s="7"/>
      <c r="M34" s="7"/>
      <c r="O34" s="9"/>
      <c r="Q34" s="7"/>
      <c r="R34" s="2"/>
      <c r="S34" s="7"/>
      <c r="U34" s="7"/>
      <c r="W34" s="7"/>
      <c r="Y34" s="7"/>
      <c r="AA34" s="7"/>
      <c r="AC34" s="7"/>
      <c r="AE34" s="13"/>
    </row>
    <row r="35" spans="2:31" ht="20.25" customHeight="1" thickBot="1">
      <c r="B35" s="5" t="s">
        <v>24</v>
      </c>
      <c r="C35" s="45">
        <v>0</v>
      </c>
      <c r="E35" s="45">
        <f>E32</f>
        <v>-20115.054341945197</v>
      </c>
      <c r="G35" s="45">
        <v>1806.5108896689699</v>
      </c>
      <c r="I35" s="181">
        <f>I32</f>
        <v>-6104.386666666667</v>
      </c>
      <c r="K35" s="45">
        <v>0</v>
      </c>
      <c r="M35" s="45">
        <f>E35+G35+I35</f>
        <v>-24412.930118942895</v>
      </c>
      <c r="O35" s="46"/>
      <c r="Q35" s="45">
        <v>-130.39445999999998</v>
      </c>
      <c r="R35" s="2">
        <v>0</v>
      </c>
      <c r="S35" s="45">
        <v>78.54969</v>
      </c>
      <c r="U35" s="45">
        <v>-60191.68443</v>
      </c>
      <c r="W35" s="45">
        <v>-4882.347399999994</v>
      </c>
      <c r="Y35" s="45">
        <v>-139027.93396999998</v>
      </c>
      <c r="AA35" s="45">
        <v>65168.38154</v>
      </c>
      <c r="AC35" s="45">
        <v>-138985.42902999997</v>
      </c>
      <c r="AE35" s="13" t="e">
        <v>#REF!</v>
      </c>
    </row>
    <row r="36" spans="17:19" ht="12" thickTop="1">
      <c r="Q36" s="2"/>
      <c r="R36" s="2"/>
      <c r="S36" s="2"/>
    </row>
    <row r="38" ht="11.25">
      <c r="C38" s="7"/>
    </row>
    <row r="39" ht="11.25">
      <c r="C39" s="7"/>
    </row>
    <row r="40" ht="11.25">
      <c r="C40" s="7"/>
    </row>
    <row r="41" ht="11.25">
      <c r="C41" s="7"/>
    </row>
    <row r="42" ht="11.25">
      <c r="C42" s="7"/>
    </row>
    <row r="43" ht="11.25">
      <c r="C43" s="7"/>
    </row>
    <row r="44" ht="11.25">
      <c r="C44" s="7"/>
    </row>
    <row r="45" ht="11.25">
      <c r="C45" s="7"/>
    </row>
    <row r="46" ht="11.25">
      <c r="C46" s="7"/>
    </row>
    <row r="47" ht="11.25">
      <c r="C47" s="7"/>
    </row>
    <row r="48" ht="11.25">
      <c r="C48" s="7"/>
    </row>
    <row r="49" ht="11.25">
      <c r="C49" s="7"/>
    </row>
    <row r="50" ht="11.25">
      <c r="C50" s="7"/>
    </row>
    <row r="51" ht="11.25">
      <c r="C51" s="7"/>
    </row>
    <row r="52" ht="11.25">
      <c r="C52" s="7"/>
    </row>
    <row r="53" ht="11.25">
      <c r="C53" s="7"/>
    </row>
    <row r="54" ht="11.25">
      <c r="C54" s="7"/>
    </row>
    <row r="55" ht="11.25">
      <c r="C55" s="7"/>
    </row>
    <row r="56" ht="11.25">
      <c r="C56" s="7"/>
    </row>
    <row r="57" ht="11.25">
      <c r="C57" s="7"/>
    </row>
    <row r="58" ht="11.25">
      <c r="C58" s="7"/>
    </row>
    <row r="59" ht="11.25">
      <c r="C59" s="7"/>
    </row>
    <row r="60" ht="11.25">
      <c r="C60" s="7"/>
    </row>
    <row r="61" ht="11.25">
      <c r="C61" s="7"/>
    </row>
    <row r="62" ht="11.25">
      <c r="C62" s="7"/>
    </row>
    <row r="63" ht="11.25">
      <c r="C63" s="7"/>
    </row>
    <row r="64" ht="11.25">
      <c r="C64" s="7"/>
    </row>
    <row r="65" ht="11.25">
      <c r="C65" s="7"/>
    </row>
    <row r="66" ht="11.25">
      <c r="C66" s="7"/>
    </row>
    <row r="67" ht="11.25">
      <c r="C67" s="7"/>
    </row>
    <row r="68" ht="11.25">
      <c r="C68" s="7"/>
    </row>
    <row r="69" ht="11.25">
      <c r="C69" s="7"/>
    </row>
    <row r="70" ht="11.25">
      <c r="C70" s="7"/>
    </row>
    <row r="71" ht="11.25">
      <c r="C71" s="7"/>
    </row>
    <row r="72" ht="11.25">
      <c r="C72" s="7"/>
    </row>
    <row r="73" ht="11.25">
      <c r="C73" s="7"/>
    </row>
    <row r="74" ht="11.25">
      <c r="C74" s="7"/>
    </row>
    <row r="75" ht="11.25">
      <c r="C75" s="7"/>
    </row>
    <row r="76" ht="11.25">
      <c r="C76" s="7"/>
    </row>
    <row r="77" ht="11.25">
      <c r="C77" s="7"/>
    </row>
    <row r="78" ht="11.25">
      <c r="C78" s="7"/>
    </row>
    <row r="79" ht="11.25">
      <c r="C79" s="7"/>
    </row>
    <row r="80" ht="11.25">
      <c r="C80" s="7"/>
    </row>
    <row r="81" ht="11.25">
      <c r="C81" s="7"/>
    </row>
    <row r="82" ht="11.25">
      <c r="C82" s="7"/>
    </row>
    <row r="83" ht="11.25">
      <c r="C83" s="7"/>
    </row>
    <row r="84" ht="11.25">
      <c r="C84" s="7"/>
    </row>
    <row r="85" ht="11.25">
      <c r="C85" s="7"/>
    </row>
    <row r="86" ht="11.25">
      <c r="C86" s="7"/>
    </row>
    <row r="87" ht="11.25">
      <c r="C87" s="7"/>
    </row>
    <row r="88" ht="11.25">
      <c r="C88" s="7"/>
    </row>
    <row r="89" ht="11.25">
      <c r="C89" s="7"/>
    </row>
    <row r="90" ht="11.25">
      <c r="C90" s="7"/>
    </row>
    <row r="91" ht="11.25">
      <c r="C91" s="7"/>
    </row>
    <row r="92" ht="11.25">
      <c r="C92" s="7"/>
    </row>
    <row r="93" ht="11.25">
      <c r="C93" s="7"/>
    </row>
    <row r="94" ht="11.25">
      <c r="C94" s="7"/>
    </row>
    <row r="95" ht="11.25">
      <c r="C95" s="7"/>
    </row>
    <row r="96" ht="11.25">
      <c r="C96" s="7"/>
    </row>
    <row r="97" ht="11.25">
      <c r="C97" s="7"/>
    </row>
    <row r="98" ht="11.25">
      <c r="C98" s="7"/>
    </row>
    <row r="99" ht="11.25">
      <c r="C99" s="7"/>
    </row>
    <row r="100" ht="11.25">
      <c r="C100" s="7"/>
    </row>
    <row r="101" ht="11.25">
      <c r="C101" s="7"/>
    </row>
    <row r="102" ht="11.25">
      <c r="C102" s="7"/>
    </row>
    <row r="103" ht="11.25">
      <c r="C103" s="7"/>
    </row>
    <row r="104" ht="11.25">
      <c r="C104" s="7"/>
    </row>
    <row r="105" ht="11.25">
      <c r="C105" s="7"/>
    </row>
    <row r="106" ht="11.25">
      <c r="C106" s="7"/>
    </row>
    <row r="107" ht="11.25">
      <c r="C107" s="7"/>
    </row>
    <row r="108" ht="11.25">
      <c r="C108" s="7"/>
    </row>
    <row r="109" ht="11.25">
      <c r="C109" s="7"/>
    </row>
    <row r="110" ht="11.25">
      <c r="C110" s="7"/>
    </row>
    <row r="111" ht="11.25">
      <c r="C111" s="7"/>
    </row>
    <row r="112" ht="11.25">
      <c r="C112" s="7"/>
    </row>
    <row r="113" ht="11.25">
      <c r="C113" s="7"/>
    </row>
    <row r="114" ht="11.25">
      <c r="C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34" ht="11.25">
      <c r="C134" s="7"/>
    </row>
    <row r="135" ht="11.25">
      <c r="C135" s="7"/>
    </row>
    <row r="136" ht="11.25">
      <c r="C136" s="7"/>
    </row>
    <row r="137" ht="11.25">
      <c r="C137" s="7"/>
    </row>
    <row r="138" ht="11.25">
      <c r="C138" s="7"/>
    </row>
    <row r="139" ht="11.25">
      <c r="C139" s="7"/>
    </row>
    <row r="140" ht="11.25">
      <c r="C140" s="7"/>
    </row>
    <row r="141" ht="11.25">
      <c r="C141" s="7"/>
    </row>
    <row r="142" ht="11.25">
      <c r="C142" s="7"/>
    </row>
    <row r="143" ht="11.25">
      <c r="C143" s="7"/>
    </row>
    <row r="144" ht="11.25">
      <c r="C144" s="7"/>
    </row>
    <row r="145" ht="11.25">
      <c r="C145" s="7"/>
    </row>
    <row r="146" ht="11.25">
      <c r="C146" s="7"/>
    </row>
    <row r="147" ht="11.25">
      <c r="C147" s="7"/>
    </row>
    <row r="148" ht="11.25">
      <c r="C148" s="7"/>
    </row>
    <row r="149" ht="11.25">
      <c r="C149" s="7"/>
    </row>
    <row r="150" ht="11.25">
      <c r="C150" s="7"/>
    </row>
    <row r="151" ht="11.25">
      <c r="C151" s="7"/>
    </row>
    <row r="152" ht="11.25">
      <c r="C152" s="7"/>
    </row>
    <row r="153" ht="11.25">
      <c r="C153" s="7"/>
    </row>
    <row r="154" ht="11.25">
      <c r="C154" s="7"/>
    </row>
    <row r="155" ht="11.25">
      <c r="C155" s="7"/>
    </row>
    <row r="156" ht="11.25">
      <c r="C156" s="7"/>
    </row>
    <row r="157" ht="11.25">
      <c r="C157" s="7"/>
    </row>
    <row r="158" ht="11.25">
      <c r="C158" s="7"/>
    </row>
    <row r="159" ht="11.25">
      <c r="C159" s="7"/>
    </row>
    <row r="160" ht="11.25">
      <c r="C160" s="7"/>
    </row>
    <row r="161" ht="11.25">
      <c r="C161" s="7"/>
    </row>
    <row r="162" ht="11.25">
      <c r="C162" s="7"/>
    </row>
    <row r="163" ht="11.25">
      <c r="C163" s="7"/>
    </row>
    <row r="164" ht="11.25">
      <c r="C164" s="7"/>
    </row>
    <row r="165" ht="11.25">
      <c r="C165" s="7"/>
    </row>
    <row r="166" ht="11.25">
      <c r="C166" s="7"/>
    </row>
    <row r="167" ht="11.25">
      <c r="C167" s="7"/>
    </row>
    <row r="168" ht="11.25">
      <c r="C168" s="7"/>
    </row>
    <row r="169" ht="11.25">
      <c r="C169" s="7"/>
    </row>
    <row r="170" ht="11.25">
      <c r="C170" s="7"/>
    </row>
    <row r="171" ht="11.25">
      <c r="C171" s="7"/>
    </row>
    <row r="172" ht="11.25">
      <c r="C172" s="7"/>
    </row>
    <row r="173" ht="11.25">
      <c r="C173" s="7"/>
    </row>
    <row r="174" ht="11.25">
      <c r="C174" s="7"/>
    </row>
    <row r="175" ht="11.25">
      <c r="C175" s="7"/>
    </row>
    <row r="176" ht="11.25">
      <c r="C176" s="7"/>
    </row>
    <row r="177" ht="11.25">
      <c r="C177" s="7"/>
    </row>
    <row r="178" ht="11.25">
      <c r="C178" s="7"/>
    </row>
    <row r="179" ht="11.25">
      <c r="C179" s="7"/>
    </row>
    <row r="180" ht="11.25">
      <c r="C180" s="7"/>
    </row>
    <row r="181" ht="11.25">
      <c r="C181" s="7"/>
    </row>
    <row r="182" ht="11.25">
      <c r="C182" s="7"/>
    </row>
    <row r="183" ht="11.25">
      <c r="C183" s="7"/>
    </row>
    <row r="184" ht="11.25">
      <c r="C184" s="7"/>
    </row>
    <row r="185" ht="11.25">
      <c r="C185" s="7"/>
    </row>
    <row r="186" ht="11.25">
      <c r="C186" s="7"/>
    </row>
    <row r="187" ht="11.25">
      <c r="C187" s="7"/>
    </row>
    <row r="188" ht="11.25">
      <c r="C188" s="7"/>
    </row>
    <row r="189" ht="11.25">
      <c r="C189" s="7"/>
    </row>
    <row r="190" ht="11.25">
      <c r="C190" s="7"/>
    </row>
    <row r="191" ht="11.25">
      <c r="C191" s="7"/>
    </row>
    <row r="192" ht="11.25">
      <c r="C192" s="7"/>
    </row>
    <row r="193" ht="11.25">
      <c r="C193" s="7"/>
    </row>
    <row r="194" ht="11.25">
      <c r="C194" s="7"/>
    </row>
    <row r="195" ht="11.25">
      <c r="C195" s="7"/>
    </row>
    <row r="196" ht="11.25">
      <c r="C196" s="7"/>
    </row>
    <row r="197" ht="11.25">
      <c r="C197" s="7"/>
    </row>
    <row r="198" ht="11.25">
      <c r="C198" s="7"/>
    </row>
    <row r="199" ht="11.25">
      <c r="C199" s="7"/>
    </row>
    <row r="200" ht="11.25">
      <c r="C200" s="7"/>
    </row>
    <row r="201" ht="11.25">
      <c r="C201" s="7"/>
    </row>
    <row r="202" ht="11.25">
      <c r="C202" s="7"/>
    </row>
    <row r="203" ht="11.25">
      <c r="C203" s="7"/>
    </row>
    <row r="204" ht="11.25">
      <c r="C204" s="7"/>
    </row>
    <row r="205" ht="11.25">
      <c r="C205" s="7"/>
    </row>
    <row r="206" ht="11.25">
      <c r="C206" s="7"/>
    </row>
    <row r="207" ht="11.25">
      <c r="C207" s="7"/>
    </row>
    <row r="208" ht="11.25">
      <c r="C208" s="7"/>
    </row>
    <row r="209" ht="11.25">
      <c r="C209" s="7"/>
    </row>
    <row r="210" ht="11.25">
      <c r="C210" s="7"/>
    </row>
    <row r="211" ht="11.25">
      <c r="C211" s="7"/>
    </row>
    <row r="212" ht="11.25">
      <c r="C212" s="7"/>
    </row>
    <row r="213" ht="11.25">
      <c r="C213" s="7"/>
    </row>
    <row r="214" ht="11.25">
      <c r="C214" s="7"/>
    </row>
    <row r="215" ht="11.25">
      <c r="C215" s="7"/>
    </row>
    <row r="216" ht="11.25">
      <c r="C216" s="7"/>
    </row>
    <row r="217" ht="11.25">
      <c r="C217" s="7"/>
    </row>
    <row r="218" ht="11.25">
      <c r="C218" s="7"/>
    </row>
    <row r="219" ht="11.25">
      <c r="C219" s="7"/>
    </row>
    <row r="220" ht="11.25">
      <c r="C220" s="7"/>
    </row>
    <row r="221" ht="11.25">
      <c r="C221" s="7"/>
    </row>
    <row r="222" ht="11.25">
      <c r="C222" s="7"/>
    </row>
    <row r="223" ht="11.25">
      <c r="C223" s="7"/>
    </row>
    <row r="224" ht="11.25">
      <c r="C224" s="7"/>
    </row>
    <row r="225" ht="11.25">
      <c r="C225" s="7"/>
    </row>
    <row r="226" ht="11.25">
      <c r="C226" s="7"/>
    </row>
    <row r="227" ht="11.25">
      <c r="C227" s="7"/>
    </row>
    <row r="228" ht="11.25">
      <c r="C228" s="7"/>
    </row>
    <row r="229" ht="11.25">
      <c r="C229" s="7"/>
    </row>
    <row r="230" ht="11.25">
      <c r="C230" s="7"/>
    </row>
    <row r="231" ht="11.25">
      <c r="C231" s="7"/>
    </row>
    <row r="232" ht="11.25">
      <c r="C232" s="7"/>
    </row>
    <row r="233" ht="11.25">
      <c r="C233" s="7"/>
    </row>
    <row r="234" ht="11.25">
      <c r="C234" s="7"/>
    </row>
    <row r="235" ht="11.25">
      <c r="C235" s="7"/>
    </row>
    <row r="236" ht="11.25">
      <c r="C236" s="7"/>
    </row>
    <row r="237" ht="11.25">
      <c r="C237" s="7"/>
    </row>
    <row r="238" ht="11.25">
      <c r="C238" s="7"/>
    </row>
    <row r="239" ht="11.25">
      <c r="C239" s="7"/>
    </row>
    <row r="240" ht="11.25">
      <c r="C240" s="7"/>
    </row>
    <row r="241" ht="11.25">
      <c r="C241" s="7"/>
    </row>
    <row r="242" ht="11.25">
      <c r="C242" s="7"/>
    </row>
    <row r="243" ht="11.25">
      <c r="C243" s="7"/>
    </row>
    <row r="244" ht="11.25">
      <c r="C244" s="7"/>
    </row>
    <row r="245" ht="11.25">
      <c r="C245" s="7"/>
    </row>
    <row r="246" ht="11.25">
      <c r="C246" s="7"/>
    </row>
    <row r="247" ht="11.25">
      <c r="C247" s="7"/>
    </row>
    <row r="248" ht="11.25">
      <c r="C248" s="7"/>
    </row>
    <row r="249" ht="11.25">
      <c r="C249" s="7"/>
    </row>
    <row r="250" ht="11.25">
      <c r="C250" s="7"/>
    </row>
    <row r="251" ht="11.25">
      <c r="C251" s="7"/>
    </row>
    <row r="252" ht="11.25">
      <c r="C252" s="7"/>
    </row>
    <row r="253" ht="11.25">
      <c r="C253" s="7"/>
    </row>
  </sheetData>
  <sheetProtection/>
  <mergeCells count="6">
    <mergeCell ref="B1:M1"/>
    <mergeCell ref="B2:M2"/>
    <mergeCell ref="B3:M3"/>
    <mergeCell ref="B4:M4"/>
    <mergeCell ref="B5:M5"/>
    <mergeCell ref="B6:M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B1:AF253"/>
  <sheetViews>
    <sheetView zoomScalePageLayoutView="0" workbookViewId="0" topLeftCell="A1">
      <pane xSplit="4" ySplit="9" topLeftCell="E22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B32" sqref="B32"/>
    </sheetView>
  </sheetViews>
  <sheetFormatPr defaultColWidth="9.140625" defaultRowHeight="12.75"/>
  <cols>
    <col min="1" max="1" width="1.57421875" style="2" customWidth="1"/>
    <col min="2" max="2" width="39.140625" style="2" customWidth="1"/>
    <col min="3" max="3" width="10.57421875" style="2" hidden="1" customWidth="1"/>
    <col min="4" max="4" width="2.57421875" style="2" customWidth="1"/>
    <col min="5" max="5" width="11.57421875" style="2" customWidth="1"/>
    <col min="6" max="6" width="0.85546875" style="2" customWidth="1"/>
    <col min="7" max="7" width="11.57421875" style="2" customWidth="1"/>
    <col min="8" max="8" width="0.85546875" style="2" customWidth="1"/>
    <col min="9" max="9" width="8.140625" style="2" bestFit="1" customWidth="1"/>
    <col min="10" max="10" width="0.85546875" style="2" customWidth="1"/>
    <col min="11" max="11" width="11.57421875" style="2" customWidth="1"/>
    <col min="12" max="12" width="0.85546875" style="2" customWidth="1"/>
    <col min="13" max="13" width="11.57421875" style="2" customWidth="1"/>
    <col min="14" max="14" width="1.57421875" style="3" customWidth="1"/>
    <col min="15" max="15" width="14.00390625" style="3" customWidth="1"/>
    <col min="16" max="16" width="4.421875" style="3" customWidth="1"/>
    <col min="17" max="17" width="18.8515625" style="3" hidden="1" customWidth="1"/>
    <col min="18" max="18" width="4.00390625" style="3" hidden="1" customWidth="1"/>
    <col min="19" max="19" width="15.421875" style="3" hidden="1" customWidth="1"/>
    <col min="20" max="31" width="0" style="2" hidden="1" customWidth="1"/>
    <col min="32" max="16384" width="9.140625" style="2" customWidth="1"/>
  </cols>
  <sheetData>
    <row r="1" spans="2:20" ht="12.75" customHeigh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6"/>
      <c r="O1" s="6"/>
      <c r="P1" s="6"/>
      <c r="Q1" s="6"/>
      <c r="R1" s="6"/>
      <c r="S1" s="6"/>
      <c r="T1" s="11"/>
    </row>
    <row r="2" spans="2:20" ht="12.75" customHeight="1">
      <c r="B2" s="212" t="s">
        <v>63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"/>
      <c r="O2" s="6"/>
      <c r="P2" s="6"/>
      <c r="Q2" s="6"/>
      <c r="R2" s="6"/>
      <c r="S2" s="6"/>
      <c r="T2" s="11"/>
    </row>
    <row r="3" spans="2:20" ht="12.75" customHeight="1">
      <c r="B3" s="212" t="s">
        <v>53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6"/>
      <c r="O3" s="6"/>
      <c r="P3" s="6"/>
      <c r="Q3" s="6"/>
      <c r="R3" s="6"/>
      <c r="S3" s="6"/>
      <c r="T3" s="11"/>
    </row>
    <row r="4" spans="2:20" ht="12.75" customHeight="1">
      <c r="B4" s="213" t="s">
        <v>90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64"/>
      <c r="O4" s="64"/>
      <c r="P4" s="64"/>
      <c r="Q4" s="64"/>
      <c r="R4" s="64"/>
      <c r="S4" s="64"/>
      <c r="T4" s="62"/>
    </row>
    <row r="5" spans="2:20" ht="12.75" customHeight="1">
      <c r="B5" s="214" t="s">
        <v>124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65"/>
      <c r="O5" s="65"/>
      <c r="P5" s="65"/>
      <c r="Q5" s="65"/>
      <c r="R5" s="65"/>
      <c r="S5" s="65"/>
      <c r="T5" s="63"/>
    </row>
    <row r="6" spans="2:20" ht="12.75" customHeight="1">
      <c r="B6" s="215" t="s">
        <v>59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66"/>
      <c r="O6" s="66"/>
      <c r="P6" s="66"/>
      <c r="Q6" s="66"/>
      <c r="R6" s="66"/>
      <c r="S6" s="66"/>
      <c r="T6" s="12"/>
    </row>
    <row r="7" spans="2:11" ht="12.75" customHeight="1">
      <c r="B7" s="12"/>
      <c r="C7" s="12"/>
      <c r="D7" s="12"/>
      <c r="E7" s="155"/>
      <c r="F7" s="12"/>
      <c r="G7" s="155"/>
      <c r="K7" s="155"/>
    </row>
    <row r="8" spans="3:29" ht="11.25">
      <c r="C8" s="11" t="s">
        <v>40</v>
      </c>
      <c r="D8" s="11"/>
      <c r="E8" s="11"/>
      <c r="G8" s="11"/>
      <c r="I8" s="11"/>
      <c r="K8" s="11" t="s">
        <v>37</v>
      </c>
      <c r="M8" s="11"/>
      <c r="O8" s="6"/>
      <c r="Q8" s="2"/>
      <c r="R8" s="2"/>
      <c r="S8" s="11" t="s">
        <v>32</v>
      </c>
      <c r="U8" s="11" t="s">
        <v>66</v>
      </c>
      <c r="W8" s="11" t="s">
        <v>36</v>
      </c>
      <c r="Y8" s="11" t="s">
        <v>68</v>
      </c>
      <c r="AA8" s="11" t="s">
        <v>37</v>
      </c>
      <c r="AC8" s="11"/>
    </row>
    <row r="9" spans="3:29" ht="11.25">
      <c r="C9" s="4" t="s">
        <v>41</v>
      </c>
      <c r="D9" s="11"/>
      <c r="E9" s="4" t="s">
        <v>104</v>
      </c>
      <c r="G9" s="4" t="s">
        <v>105</v>
      </c>
      <c r="I9" s="4" t="s">
        <v>106</v>
      </c>
      <c r="K9" s="4" t="s">
        <v>38</v>
      </c>
      <c r="L9" s="3"/>
      <c r="M9" s="4" t="s">
        <v>39</v>
      </c>
      <c r="O9" s="6"/>
      <c r="Q9" s="4" t="s">
        <v>42</v>
      </c>
      <c r="R9" s="2"/>
      <c r="S9" s="4" t="s">
        <v>33</v>
      </c>
      <c r="U9" s="4" t="s">
        <v>67</v>
      </c>
      <c r="W9" s="4" t="s">
        <v>10</v>
      </c>
      <c r="Y9" s="4" t="s">
        <v>10</v>
      </c>
      <c r="AA9" s="4" t="s">
        <v>38</v>
      </c>
      <c r="AB9" s="3"/>
      <c r="AC9" s="4" t="s">
        <v>39</v>
      </c>
    </row>
    <row r="10" spans="2:29" ht="11.25">
      <c r="B10" s="5" t="s">
        <v>9</v>
      </c>
      <c r="C10" s="7"/>
      <c r="E10" s="7"/>
      <c r="G10" s="7"/>
      <c r="K10" s="7"/>
      <c r="M10" s="7"/>
      <c r="O10" s="9"/>
      <c r="Q10" s="7"/>
      <c r="R10" s="2"/>
      <c r="S10" s="7"/>
      <c r="U10" s="7"/>
      <c r="W10" s="7"/>
      <c r="Y10" s="7"/>
      <c r="AA10" s="7"/>
      <c r="AC10" s="7"/>
    </row>
    <row r="11" spans="2:31" s="13" customFormat="1" ht="11.25">
      <c r="B11" s="37" t="s">
        <v>10</v>
      </c>
      <c r="C11" s="10">
        <v>0</v>
      </c>
      <c r="D11" s="10"/>
      <c r="E11" s="10">
        <v>0</v>
      </c>
      <c r="F11" s="10"/>
      <c r="G11" s="10">
        <v>34125</v>
      </c>
      <c r="H11" s="10"/>
      <c r="I11" s="10">
        <v>0</v>
      </c>
      <c r="J11" s="10"/>
      <c r="K11" s="10">
        <v>0</v>
      </c>
      <c r="L11" s="10"/>
      <c r="M11" s="10">
        <v>34125</v>
      </c>
      <c r="N11" s="40"/>
      <c r="O11" s="40"/>
      <c r="P11" s="40"/>
      <c r="Q11" s="10">
        <v>0</v>
      </c>
      <c r="R11" s="10"/>
      <c r="S11" s="10">
        <v>0</v>
      </c>
      <c r="T11" s="10"/>
      <c r="U11" s="10">
        <v>0</v>
      </c>
      <c r="V11" s="10"/>
      <c r="W11" s="10">
        <v>15675.35863</v>
      </c>
      <c r="X11" s="10"/>
      <c r="Y11" s="10">
        <v>76905.10454</v>
      </c>
      <c r="Z11" s="10"/>
      <c r="AA11" s="10">
        <v>-12518</v>
      </c>
      <c r="AB11" s="10"/>
      <c r="AC11" s="10">
        <v>80062.46317</v>
      </c>
      <c r="AE11" s="13" t="e">
        <v>#REF!</v>
      </c>
    </row>
    <row r="12" spans="2:31" ht="11.25">
      <c r="B12" s="37" t="s">
        <v>11</v>
      </c>
      <c r="C12" s="7">
        <v>0</v>
      </c>
      <c r="E12" s="7">
        <v>32500</v>
      </c>
      <c r="G12" s="7">
        <v>0</v>
      </c>
      <c r="K12" s="7">
        <v>-32500</v>
      </c>
      <c r="M12" s="67">
        <v>0</v>
      </c>
      <c r="O12" s="9"/>
      <c r="Q12" s="7">
        <v>0</v>
      </c>
      <c r="R12" s="2">
        <v>0</v>
      </c>
      <c r="S12" s="7">
        <v>0</v>
      </c>
      <c r="U12" s="7">
        <v>39751.23763</v>
      </c>
      <c r="W12" s="7">
        <v>1062.4007</v>
      </c>
      <c r="Y12" s="7">
        <v>17063.13316</v>
      </c>
      <c r="AA12" s="7">
        <v>-42742.23763</v>
      </c>
      <c r="AC12" s="7">
        <v>15134.533859999996</v>
      </c>
      <c r="AE12" s="13" t="e">
        <v>#REF!</v>
      </c>
    </row>
    <row r="13" spans="2:31" ht="11.25">
      <c r="B13" s="37" t="s">
        <v>12</v>
      </c>
      <c r="C13" s="7">
        <v>0</v>
      </c>
      <c r="E13" s="156">
        <v>0</v>
      </c>
      <c r="F13" s="157"/>
      <c r="G13" s="7">
        <f>14250*0.75</f>
        <v>10687.5</v>
      </c>
      <c r="K13" s="156">
        <v>0</v>
      </c>
      <c r="M13" s="67">
        <f>SUM(E13:K13)</f>
        <v>10687.5</v>
      </c>
      <c r="O13" s="190"/>
      <c r="Q13" s="7">
        <v>0</v>
      </c>
      <c r="R13" s="2">
        <v>0</v>
      </c>
      <c r="S13" s="7">
        <v>0</v>
      </c>
      <c r="U13" s="7">
        <v>0</v>
      </c>
      <c r="W13" s="7">
        <v>357.25397</v>
      </c>
      <c r="Y13" s="7">
        <v>3478.4172000000003</v>
      </c>
      <c r="AA13" s="7">
        <v>-218</v>
      </c>
      <c r="AC13" s="7">
        <v>3617.6711700000005</v>
      </c>
      <c r="AE13" s="13" t="e">
        <v>#REF!</v>
      </c>
    </row>
    <row r="14" spans="2:32" ht="11.25">
      <c r="B14" s="2" t="s">
        <v>64</v>
      </c>
      <c r="C14" s="14">
        <v>0</v>
      </c>
      <c r="E14" s="14">
        <f aca="true" t="shared" si="0" ref="E14:K14">SUM(E11:E13)</f>
        <v>32500</v>
      </c>
      <c r="F14" s="14">
        <f t="shared" si="0"/>
        <v>0</v>
      </c>
      <c r="G14" s="14">
        <f t="shared" si="0"/>
        <v>44812.5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-32500</v>
      </c>
      <c r="M14" s="14">
        <f>SUM(E14:K14)</f>
        <v>44812.5</v>
      </c>
      <c r="O14" s="9"/>
      <c r="Q14" s="14">
        <v>248.339</v>
      </c>
      <c r="R14" s="2">
        <v>0</v>
      </c>
      <c r="S14" s="14">
        <v>0</v>
      </c>
      <c r="U14" s="14">
        <v>39823.5831</v>
      </c>
      <c r="W14" s="14">
        <v>17095.013300000002</v>
      </c>
      <c r="Y14" s="14">
        <v>108823.46646</v>
      </c>
      <c r="AA14" s="14">
        <v>-55555.5831</v>
      </c>
      <c r="AC14" s="14">
        <v>110434.81876000001</v>
      </c>
      <c r="AE14" s="13" t="e">
        <v>#REF!</v>
      </c>
      <c r="AF14" s="10"/>
    </row>
    <row r="15" spans="2:31" ht="11.25">
      <c r="B15" s="5" t="s">
        <v>13</v>
      </c>
      <c r="C15" s="7"/>
      <c r="E15" s="7"/>
      <c r="G15" s="7"/>
      <c r="K15" s="7"/>
      <c r="M15" s="7"/>
      <c r="O15" s="9"/>
      <c r="Q15" s="7"/>
      <c r="R15" s="2">
        <v>0</v>
      </c>
      <c r="S15" s="7"/>
      <c r="U15" s="7"/>
      <c r="W15" s="7"/>
      <c r="Y15" s="7"/>
      <c r="AA15" s="7"/>
      <c r="AC15" s="7"/>
      <c r="AE15" s="13" t="e">
        <v>#REF!</v>
      </c>
    </row>
    <row r="16" spans="2:31" ht="11.25">
      <c r="B16" s="37" t="s">
        <v>14</v>
      </c>
      <c r="C16" s="7">
        <v>0</v>
      </c>
      <c r="E16" s="7">
        <v>6500</v>
      </c>
      <c r="G16" s="7">
        <v>35750</v>
      </c>
      <c r="K16" s="7">
        <v>-32500</v>
      </c>
      <c r="M16" s="67">
        <v>9750</v>
      </c>
      <c r="O16" s="9"/>
      <c r="Q16" s="7">
        <v>335.24284</v>
      </c>
      <c r="R16" s="2">
        <v>0</v>
      </c>
      <c r="S16" s="7">
        <v>0</v>
      </c>
      <c r="U16" s="7">
        <v>13728.64205</v>
      </c>
      <c r="W16" s="7">
        <v>18257.41827</v>
      </c>
      <c r="Y16" s="7">
        <v>125180.88843</v>
      </c>
      <c r="AA16" s="7">
        <v>-55555.5831</v>
      </c>
      <c r="AC16" s="7">
        <v>101946.60849</v>
      </c>
      <c r="AE16" s="13" t="e">
        <v>#REF!</v>
      </c>
    </row>
    <row r="17" spans="2:31" ht="11.25">
      <c r="B17" s="37" t="s">
        <v>98</v>
      </c>
      <c r="C17" s="7">
        <v>0</v>
      </c>
      <c r="E17" s="7">
        <v>11375</v>
      </c>
      <c r="G17" s="7">
        <v>7297.470297198934</v>
      </c>
      <c r="K17" s="7">
        <v>0</v>
      </c>
      <c r="M17" s="67">
        <v>18672.47029719893</v>
      </c>
      <c r="O17" s="9"/>
      <c r="Q17" s="7">
        <v>43.49062</v>
      </c>
      <c r="R17" s="2"/>
      <c r="S17" s="7">
        <v>15.11753</v>
      </c>
      <c r="U17" s="7">
        <v>22556.56497</v>
      </c>
      <c r="W17" s="7">
        <v>675.93506</v>
      </c>
      <c r="Y17" s="7">
        <v>18525.82999</v>
      </c>
      <c r="AA17" s="7">
        <v>0</v>
      </c>
      <c r="AC17" s="7">
        <v>41816.938169999994</v>
      </c>
      <c r="AE17" s="13" t="e">
        <v>#REF!</v>
      </c>
    </row>
    <row r="18" spans="2:31" ht="11.25">
      <c r="B18" s="2" t="s">
        <v>64</v>
      </c>
      <c r="C18" s="14">
        <v>0</v>
      </c>
      <c r="E18" s="14">
        <f>SUM(E16:E17)</f>
        <v>17875</v>
      </c>
      <c r="F18" s="14">
        <f aca="true" t="shared" si="1" ref="F18:M18">SUM(F16:F17)</f>
        <v>0</v>
      </c>
      <c r="G18" s="14">
        <f t="shared" si="1"/>
        <v>43047.47029719893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-32500</v>
      </c>
      <c r="L18" s="14">
        <f t="shared" si="1"/>
        <v>0</v>
      </c>
      <c r="M18" s="14">
        <f t="shared" si="1"/>
        <v>28422.47029719893</v>
      </c>
      <c r="O18" s="9"/>
      <c r="Q18" s="14">
        <v>378.73346</v>
      </c>
      <c r="R18" s="2">
        <v>0</v>
      </c>
      <c r="S18" s="14">
        <v>15.11753</v>
      </c>
      <c r="U18" s="14">
        <v>36285.20702</v>
      </c>
      <c r="W18" s="14">
        <v>19347.830779999997</v>
      </c>
      <c r="Y18" s="14">
        <v>146088.25905</v>
      </c>
      <c r="AA18" s="14">
        <v>-55555.5831</v>
      </c>
      <c r="AC18" s="14">
        <v>146559.56474</v>
      </c>
      <c r="AE18" s="13" t="e">
        <v>#REF!</v>
      </c>
    </row>
    <row r="19" spans="2:31" ht="18" customHeight="1">
      <c r="B19" s="38" t="s">
        <v>15</v>
      </c>
      <c r="C19" s="7">
        <v>0</v>
      </c>
      <c r="E19" s="7">
        <f>E14-E18</f>
        <v>14625</v>
      </c>
      <c r="G19" s="7">
        <f>G14-G18</f>
        <v>1765.0297028010682</v>
      </c>
      <c r="I19" s="7">
        <v>0</v>
      </c>
      <c r="K19" s="7">
        <v>0</v>
      </c>
      <c r="M19" s="7">
        <f>SUM(E19:K19)</f>
        <v>16390.02970280107</v>
      </c>
      <c r="O19" s="9"/>
      <c r="Q19" s="7">
        <v>-130.39445999999998</v>
      </c>
      <c r="R19" s="2">
        <v>0</v>
      </c>
      <c r="S19" s="7">
        <v>-15.11753</v>
      </c>
      <c r="U19" s="7">
        <v>3538.376080000002</v>
      </c>
      <c r="W19" s="7">
        <v>-2252.8174799999942</v>
      </c>
      <c r="Y19" s="7">
        <v>-37264.79259</v>
      </c>
      <c r="AA19" s="7">
        <v>0</v>
      </c>
      <c r="AC19" s="7">
        <v>-36124.74597999999</v>
      </c>
      <c r="AE19" s="13" t="e">
        <v>#REF!</v>
      </c>
    </row>
    <row r="20" spans="2:31" ht="12" customHeight="1">
      <c r="B20" s="37"/>
      <c r="C20" s="7"/>
      <c r="E20" s="7"/>
      <c r="G20" s="7"/>
      <c r="I20" s="7"/>
      <c r="K20" s="7"/>
      <c r="M20" s="67"/>
      <c r="O20" s="9"/>
      <c r="Q20" s="7"/>
      <c r="R20" s="2"/>
      <c r="S20" s="7"/>
      <c r="U20" s="7"/>
      <c r="W20" s="7"/>
      <c r="Y20" s="7"/>
      <c r="AA20" s="7"/>
      <c r="AC20" s="7"/>
      <c r="AE20" s="13"/>
    </row>
    <row r="21" spans="2:31" ht="12" thickBot="1">
      <c r="B21" s="5" t="s">
        <v>16</v>
      </c>
      <c r="C21" s="41">
        <v>0</v>
      </c>
      <c r="E21" s="41">
        <v>14625</v>
      </c>
      <c r="G21" s="41">
        <f>G19</f>
        <v>1765.0297028010682</v>
      </c>
      <c r="I21" s="41">
        <v>0</v>
      </c>
      <c r="K21" s="41">
        <v>0</v>
      </c>
      <c r="M21" s="41">
        <v>19431.795366626066</v>
      </c>
      <c r="O21" s="42"/>
      <c r="Q21" s="41">
        <v>-130.39445999999998</v>
      </c>
      <c r="R21" s="2">
        <v>0</v>
      </c>
      <c r="S21" s="41">
        <v>-15.11753</v>
      </c>
      <c r="U21" s="41">
        <v>3538.376080000002</v>
      </c>
      <c r="W21" s="41">
        <v>-2252.8174799999942</v>
      </c>
      <c r="Y21" s="41">
        <v>-37323.731239999994</v>
      </c>
      <c r="AA21" s="41">
        <v>0</v>
      </c>
      <c r="AC21" s="41">
        <v>-36183.68462999999</v>
      </c>
      <c r="AE21" s="13" t="e">
        <v>#REF!</v>
      </c>
    </row>
    <row r="22" spans="2:31" ht="11.25">
      <c r="B22" s="5"/>
      <c r="C22" s="42"/>
      <c r="E22" s="42"/>
      <c r="G22" s="42"/>
      <c r="K22" s="42"/>
      <c r="M22" s="42"/>
      <c r="O22" s="42"/>
      <c r="Q22" s="42"/>
      <c r="R22" s="2"/>
      <c r="S22" s="42"/>
      <c r="U22" s="42"/>
      <c r="W22" s="42"/>
      <c r="Y22" s="42"/>
      <c r="AA22" s="42"/>
      <c r="AC22" s="42"/>
      <c r="AE22" s="13"/>
    </row>
    <row r="23" spans="2:31" ht="11.25">
      <c r="B23" s="37" t="s">
        <v>97</v>
      </c>
      <c r="C23" s="7">
        <v>0</v>
      </c>
      <c r="E23" s="7">
        <v>8526.3</v>
      </c>
      <c r="G23" s="7">
        <v>3890.8052343749996</v>
      </c>
      <c r="K23" s="7">
        <v>0</v>
      </c>
      <c r="M23" s="7">
        <f>E23+G23</f>
        <v>12417.105234374998</v>
      </c>
      <c r="O23" s="9"/>
      <c r="Q23" s="7">
        <v>0</v>
      </c>
      <c r="R23" s="2"/>
      <c r="S23" s="7">
        <v>0</v>
      </c>
      <c r="U23" s="7">
        <v>4331.88332</v>
      </c>
      <c r="W23" s="7">
        <v>688.743</v>
      </c>
      <c r="Y23" s="7">
        <v>9578.93204</v>
      </c>
      <c r="AA23" s="7">
        <v>0</v>
      </c>
      <c r="AC23" s="7">
        <v>14599.558359999999</v>
      </c>
      <c r="AE23" s="13" t="e">
        <v>#REF!</v>
      </c>
    </row>
    <row r="24" spans="2:31" ht="11.25">
      <c r="B24" s="2" t="s">
        <v>64</v>
      </c>
      <c r="C24" s="14">
        <v>0</v>
      </c>
      <c r="E24" s="14">
        <f>E23</f>
        <v>8526.3</v>
      </c>
      <c r="G24" s="14">
        <v>3890.8052343749996</v>
      </c>
      <c r="I24" s="14">
        <v>0</v>
      </c>
      <c r="K24" s="14">
        <v>0</v>
      </c>
      <c r="M24" s="14">
        <f>E24+G24</f>
        <v>12417.105234374998</v>
      </c>
      <c r="O24" s="9"/>
      <c r="Q24" s="14">
        <v>0</v>
      </c>
      <c r="R24" s="2"/>
      <c r="S24" s="14">
        <v>0</v>
      </c>
      <c r="U24" s="14">
        <v>8126.667659999999</v>
      </c>
      <c r="W24" s="14">
        <v>688.743</v>
      </c>
      <c r="Y24" s="14">
        <v>9578.93204</v>
      </c>
      <c r="AA24" s="14">
        <v>0</v>
      </c>
      <c r="AC24" s="14">
        <v>18394.342699999997</v>
      </c>
      <c r="AE24" s="13" t="e">
        <v>#REF!</v>
      </c>
    </row>
    <row r="25" spans="2:31" ht="21" customHeight="1">
      <c r="B25" s="38" t="s">
        <v>17</v>
      </c>
      <c r="C25" s="7">
        <v>0</v>
      </c>
      <c r="E25" s="49">
        <f>E21-E24</f>
        <v>6098.700000000001</v>
      </c>
      <c r="F25" s="5"/>
      <c r="G25" s="49">
        <f>G21-G24</f>
        <v>-2125.7755315739314</v>
      </c>
      <c r="H25" s="49"/>
      <c r="I25" s="49">
        <v>0</v>
      </c>
      <c r="J25" s="49"/>
      <c r="K25" s="49">
        <v>0</v>
      </c>
      <c r="L25" s="5"/>
      <c r="M25" s="49">
        <f>E25+G25</f>
        <v>3972.9244684260693</v>
      </c>
      <c r="O25" s="9"/>
      <c r="Q25" s="49">
        <v>-130.39445999999998</v>
      </c>
      <c r="R25" s="5">
        <v>0</v>
      </c>
      <c r="S25" s="49">
        <v>-15.11753</v>
      </c>
      <c r="T25" s="5"/>
      <c r="U25" s="49">
        <v>-4588.291579999997</v>
      </c>
      <c r="V25" s="5"/>
      <c r="W25" s="49">
        <v>-2941.560479999994</v>
      </c>
      <c r="X25" s="5"/>
      <c r="Y25" s="49">
        <v>-46902.66327999999</v>
      </c>
      <c r="Z25" s="49"/>
      <c r="AA25" s="49">
        <v>0</v>
      </c>
      <c r="AB25" s="5"/>
      <c r="AC25" s="49">
        <v>-54578.02732999998</v>
      </c>
      <c r="AE25" s="13" t="e">
        <v>#REF!</v>
      </c>
    </row>
    <row r="26" spans="2:31" ht="20.25" customHeight="1">
      <c r="B26" s="38" t="s">
        <v>18</v>
      </c>
      <c r="C26" s="7"/>
      <c r="E26" s="7"/>
      <c r="G26" s="7"/>
      <c r="K26" s="7"/>
      <c r="M26" s="7"/>
      <c r="O26" s="9"/>
      <c r="Q26" s="7"/>
      <c r="R26" s="2">
        <v>0</v>
      </c>
      <c r="S26" s="7"/>
      <c r="U26" s="7"/>
      <c r="W26" s="7"/>
      <c r="Y26" s="7"/>
      <c r="AA26" s="7"/>
      <c r="AC26" s="7"/>
      <c r="AE26" s="13" t="e">
        <v>#REF!</v>
      </c>
    </row>
    <row r="27" spans="2:31" ht="11.25">
      <c r="B27" s="43" t="s">
        <v>19</v>
      </c>
      <c r="C27" s="7">
        <v>0</v>
      </c>
      <c r="E27" s="7">
        <v>2608.2024300000003</v>
      </c>
      <c r="G27" s="7">
        <v>167.8701</v>
      </c>
      <c r="K27" s="7">
        <v>0</v>
      </c>
      <c r="M27" s="7">
        <f>SUM(E27:K27)</f>
        <v>2776.0725300000004</v>
      </c>
      <c r="O27" s="9"/>
      <c r="Q27" s="7">
        <v>0</v>
      </c>
      <c r="R27" s="2">
        <v>0</v>
      </c>
      <c r="S27" s="7">
        <v>94.46722</v>
      </c>
      <c r="U27" s="7">
        <v>2608.2024300000003</v>
      </c>
      <c r="W27" s="7">
        <v>2.04591</v>
      </c>
      <c r="Y27" s="7">
        <v>165.8701</v>
      </c>
      <c r="AA27" s="7">
        <v>0</v>
      </c>
      <c r="AC27" s="7">
        <v>2870.58566</v>
      </c>
      <c r="AE27" s="13" t="e">
        <v>#REF!</v>
      </c>
    </row>
    <row r="28" spans="2:31" ht="11.25">
      <c r="B28" s="37" t="s">
        <v>20</v>
      </c>
      <c r="C28" s="7">
        <v>0</v>
      </c>
      <c r="E28" s="7">
        <f>-'Forest Co Notes'!AF12</f>
        <v>-20018.721707561635</v>
      </c>
      <c r="G28" s="7">
        <f>-SUM('MillCo Notes'!I58:I66)</f>
        <v>-2233.8333333333335</v>
      </c>
      <c r="I28" s="67">
        <f>-((SUM('MLC Note'!I94:I96)+'MLC Revolver'!AQ12))</f>
        <v>-4282.316666666667</v>
      </c>
      <c r="K28" s="7">
        <v>0</v>
      </c>
      <c r="M28" s="7">
        <f>SUM(E28:K28)</f>
        <v>-26534.871707561633</v>
      </c>
      <c r="O28" s="9"/>
      <c r="Q28" s="7">
        <v>0</v>
      </c>
      <c r="R28" s="2">
        <v>0</v>
      </c>
      <c r="S28" s="7">
        <v>0</v>
      </c>
      <c r="U28" s="7">
        <v>-56575.36958</v>
      </c>
      <c r="W28" s="7">
        <v>-0.044039999999999996</v>
      </c>
      <c r="Y28" s="7">
        <v>-16775.2474</v>
      </c>
      <c r="AA28" s="7">
        <v>0</v>
      </c>
      <c r="AC28" s="7">
        <v>-73350.66102</v>
      </c>
      <c r="AE28" s="13" t="e">
        <v>#REF!</v>
      </c>
    </row>
    <row r="29" spans="3:31" ht="11.25">
      <c r="C29" s="14">
        <v>0</v>
      </c>
      <c r="E29" s="14">
        <f>SUM(E27:E28)</f>
        <v>-17410.519277561634</v>
      </c>
      <c r="G29" s="14">
        <f>SUM(G27:G28)</f>
        <v>-2065.9632333333334</v>
      </c>
      <c r="H29" s="14">
        <f>SUM(H27:H28)</f>
        <v>0</v>
      </c>
      <c r="I29" s="14">
        <f>SUM(I27:I28)</f>
        <v>-4282.316666666667</v>
      </c>
      <c r="K29" s="14">
        <v>0</v>
      </c>
      <c r="M29" s="14">
        <f>SUM(E29:K29)</f>
        <v>-23758.799177561632</v>
      </c>
      <c r="O29" s="9"/>
      <c r="Q29" s="14">
        <v>0</v>
      </c>
      <c r="R29" s="2">
        <v>0</v>
      </c>
      <c r="S29" s="14">
        <v>94.46722</v>
      </c>
      <c r="U29" s="14">
        <v>-55603.392850000004</v>
      </c>
      <c r="W29" s="14">
        <v>223.02408</v>
      </c>
      <c r="Y29" s="14">
        <v>-29138.535539999997</v>
      </c>
      <c r="AA29" s="14">
        <v>0</v>
      </c>
      <c r="AC29" s="14">
        <v>-84424.43708999999</v>
      </c>
      <c r="AE29" s="13" t="e">
        <v>#REF!</v>
      </c>
    </row>
    <row r="30" spans="2:31" ht="22.5">
      <c r="B30" s="44" t="s">
        <v>21</v>
      </c>
      <c r="C30" s="7">
        <v>0</v>
      </c>
      <c r="E30" s="49">
        <f>E25+E29</f>
        <v>-11311.819277561633</v>
      </c>
      <c r="F30" s="5"/>
      <c r="G30" s="49">
        <f>G25+G29</f>
        <v>-4191.738764907264</v>
      </c>
      <c r="H30" s="5"/>
      <c r="I30" s="49">
        <f>I29</f>
        <v>-4282.316666666667</v>
      </c>
      <c r="J30" s="5"/>
      <c r="K30" s="49">
        <v>0</v>
      </c>
      <c r="L30" s="5"/>
      <c r="M30" s="49">
        <f>E30+G30+I30</f>
        <v>-19785.874709135565</v>
      </c>
      <c r="O30" s="9"/>
      <c r="Q30" s="49">
        <v>-130.39445999999998</v>
      </c>
      <c r="R30" s="5">
        <v>0</v>
      </c>
      <c r="S30" s="49">
        <v>79.34969</v>
      </c>
      <c r="T30" s="5"/>
      <c r="U30" s="49">
        <v>-60191.68443</v>
      </c>
      <c r="V30" s="5"/>
      <c r="W30" s="49">
        <v>-2718.536399999994</v>
      </c>
      <c r="X30" s="5"/>
      <c r="Y30" s="49">
        <v>-76041.19881999999</v>
      </c>
      <c r="Z30" s="5"/>
      <c r="AA30" s="49">
        <v>0</v>
      </c>
      <c r="AB30" s="5"/>
      <c r="AC30" s="49">
        <v>-139002.46441999997</v>
      </c>
      <c r="AE30" s="13" t="e">
        <v>#REF!</v>
      </c>
    </row>
    <row r="31" spans="2:31" ht="18" customHeight="1">
      <c r="B31" s="38" t="s">
        <v>22</v>
      </c>
      <c r="C31" s="7">
        <v>0</v>
      </c>
      <c r="E31" s="7">
        <v>0</v>
      </c>
      <c r="G31" s="7">
        <v>10.761520000000019</v>
      </c>
      <c r="K31" s="7">
        <v>0</v>
      </c>
      <c r="M31" s="7">
        <v>10.761520000000019</v>
      </c>
      <c r="O31" s="9"/>
      <c r="Q31" s="7">
        <v>0</v>
      </c>
      <c r="R31" s="2"/>
      <c r="S31" s="7">
        <v>-0.8</v>
      </c>
      <c r="U31" s="7">
        <v>0</v>
      </c>
      <c r="W31" s="7">
        <v>-2163.811</v>
      </c>
      <c r="Y31" s="7">
        <v>2174.76152</v>
      </c>
      <c r="AA31" s="7">
        <v>0</v>
      </c>
      <c r="AC31" s="7">
        <v>10.150519999999688</v>
      </c>
      <c r="AE31" s="13" t="e">
        <v>#REF!</v>
      </c>
    </row>
    <row r="32" spans="2:31" ht="22.5">
      <c r="B32" s="44" t="s">
        <v>23</v>
      </c>
      <c r="C32" s="8">
        <v>0</v>
      </c>
      <c r="E32" s="55">
        <f>E30</f>
        <v>-11311.819277561633</v>
      </c>
      <c r="F32" s="5"/>
      <c r="G32" s="55">
        <f>G30-G31</f>
        <v>-4202.500284907264</v>
      </c>
      <c r="H32" s="5"/>
      <c r="I32" s="55">
        <f>I30</f>
        <v>-4282.316666666667</v>
      </c>
      <c r="J32" s="5"/>
      <c r="K32" s="55">
        <v>0</v>
      </c>
      <c r="L32" s="5"/>
      <c r="M32" s="55">
        <f>E32+G32+I32</f>
        <v>-19796.636229135565</v>
      </c>
      <c r="O32" s="9"/>
      <c r="Q32" s="55">
        <v>-130.39445999999998</v>
      </c>
      <c r="R32" s="5"/>
      <c r="S32" s="55">
        <v>78.54969</v>
      </c>
      <c r="T32" s="5"/>
      <c r="U32" s="55">
        <v>-60191.68443</v>
      </c>
      <c r="V32" s="5"/>
      <c r="W32" s="55">
        <v>-4882.347399999994</v>
      </c>
      <c r="X32" s="5"/>
      <c r="Y32" s="55">
        <v>-73866.43729999999</v>
      </c>
      <c r="Z32" s="5"/>
      <c r="AA32" s="55">
        <v>0</v>
      </c>
      <c r="AB32" s="5"/>
      <c r="AC32" s="55">
        <v>-138992.31389999998</v>
      </c>
      <c r="AE32" s="13" t="e">
        <v>#REF!</v>
      </c>
    </row>
    <row r="33" spans="2:31" ht="11.25">
      <c r="B33" s="37"/>
      <c r="C33" s="7"/>
      <c r="E33" s="7"/>
      <c r="G33" s="7"/>
      <c r="I33" s="7"/>
      <c r="K33" s="7"/>
      <c r="M33" s="7"/>
      <c r="O33" s="9"/>
      <c r="Q33" s="7"/>
      <c r="R33" s="2"/>
      <c r="S33" s="7"/>
      <c r="U33" s="7"/>
      <c r="W33" s="7"/>
      <c r="Y33" s="7"/>
      <c r="AA33" s="7"/>
      <c r="AC33" s="7"/>
      <c r="AE33" s="13"/>
    </row>
    <row r="34" spans="2:31" ht="11.25">
      <c r="B34" s="37"/>
      <c r="C34" s="7"/>
      <c r="E34" s="7"/>
      <c r="G34" s="7"/>
      <c r="I34" s="7"/>
      <c r="K34" s="7"/>
      <c r="M34" s="7"/>
      <c r="O34" s="9"/>
      <c r="Q34" s="7"/>
      <c r="R34" s="2"/>
      <c r="S34" s="7"/>
      <c r="U34" s="7"/>
      <c r="W34" s="7"/>
      <c r="Y34" s="7"/>
      <c r="AA34" s="7"/>
      <c r="AC34" s="7"/>
      <c r="AE34" s="13"/>
    </row>
    <row r="35" spans="2:31" ht="20.25" customHeight="1" thickBot="1">
      <c r="B35" s="5" t="s">
        <v>24</v>
      </c>
      <c r="C35" s="45">
        <v>0</v>
      </c>
      <c r="E35" s="45">
        <f>E32</f>
        <v>-11311.819277561633</v>
      </c>
      <c r="G35" s="45">
        <f>G32</f>
        <v>-4202.500284907264</v>
      </c>
      <c r="I35" s="45">
        <f>I32</f>
        <v>-4282.316666666667</v>
      </c>
      <c r="K35" s="45">
        <v>0</v>
      </c>
      <c r="M35" s="45">
        <f>E35+G35+I35</f>
        <v>-19796.636229135565</v>
      </c>
      <c r="O35" s="206"/>
      <c r="Q35" s="45">
        <v>-130.39445999999998</v>
      </c>
      <c r="R35" s="2">
        <v>0</v>
      </c>
      <c r="S35" s="45">
        <v>78.54969</v>
      </c>
      <c r="U35" s="45">
        <v>-60191.68443</v>
      </c>
      <c r="W35" s="45">
        <v>-4882.347399999994</v>
      </c>
      <c r="Y35" s="45">
        <v>-139027.93396999998</v>
      </c>
      <c r="AA35" s="45">
        <v>65168.38154</v>
      </c>
      <c r="AC35" s="45">
        <v>-138985.42902999997</v>
      </c>
      <c r="AE35" s="13" t="e">
        <v>#REF!</v>
      </c>
    </row>
    <row r="36" spans="17:19" ht="12" thickTop="1">
      <c r="Q36" s="2"/>
      <c r="R36" s="2"/>
      <c r="S36" s="2"/>
    </row>
    <row r="38" ht="11.25">
      <c r="C38" s="7"/>
    </row>
    <row r="39" ht="11.25">
      <c r="C39" s="7"/>
    </row>
    <row r="40" ht="11.25">
      <c r="C40" s="7"/>
    </row>
    <row r="41" ht="11.25">
      <c r="C41" s="7"/>
    </row>
    <row r="42" ht="11.25">
      <c r="C42" s="7"/>
    </row>
    <row r="43" ht="11.25">
      <c r="C43" s="7"/>
    </row>
    <row r="44" ht="11.25">
      <c r="C44" s="7"/>
    </row>
    <row r="45" ht="11.25">
      <c r="C45" s="7"/>
    </row>
    <row r="46" ht="11.25">
      <c r="C46" s="7"/>
    </row>
    <row r="47" ht="11.25">
      <c r="C47" s="7"/>
    </row>
    <row r="48" ht="11.25">
      <c r="C48" s="7"/>
    </row>
    <row r="49" ht="11.25">
      <c r="C49" s="7"/>
    </row>
    <row r="50" ht="11.25">
      <c r="C50" s="7"/>
    </row>
    <row r="51" ht="11.25">
      <c r="C51" s="7"/>
    </row>
    <row r="52" ht="11.25">
      <c r="C52" s="7"/>
    </row>
    <row r="53" ht="11.25">
      <c r="C53" s="7"/>
    </row>
    <row r="54" ht="11.25">
      <c r="C54" s="7"/>
    </row>
    <row r="55" ht="11.25">
      <c r="C55" s="7"/>
    </row>
    <row r="56" ht="11.25">
      <c r="C56" s="7"/>
    </row>
    <row r="57" ht="11.25">
      <c r="C57" s="7"/>
    </row>
    <row r="58" ht="11.25">
      <c r="C58" s="7"/>
    </row>
    <row r="59" ht="11.25">
      <c r="C59" s="7"/>
    </row>
    <row r="60" ht="11.25">
      <c r="C60" s="7"/>
    </row>
    <row r="61" ht="11.25">
      <c r="C61" s="7"/>
    </row>
    <row r="62" ht="11.25">
      <c r="C62" s="7"/>
    </row>
    <row r="63" ht="11.25">
      <c r="C63" s="7"/>
    </row>
    <row r="64" ht="11.25">
      <c r="C64" s="7"/>
    </row>
    <row r="65" ht="11.25">
      <c r="C65" s="7"/>
    </row>
    <row r="66" ht="11.25">
      <c r="C66" s="7"/>
    </row>
    <row r="67" ht="11.25">
      <c r="C67" s="7"/>
    </row>
    <row r="68" ht="11.25">
      <c r="C68" s="7"/>
    </row>
    <row r="69" ht="11.25">
      <c r="C69" s="7"/>
    </row>
    <row r="70" ht="11.25">
      <c r="C70" s="7"/>
    </row>
    <row r="71" ht="11.25">
      <c r="C71" s="7"/>
    </row>
    <row r="72" ht="11.25">
      <c r="C72" s="7"/>
    </row>
    <row r="73" ht="11.25">
      <c r="C73" s="7"/>
    </row>
    <row r="74" ht="11.25">
      <c r="C74" s="7"/>
    </row>
    <row r="75" ht="11.25">
      <c r="C75" s="7"/>
    </row>
    <row r="76" ht="11.25">
      <c r="C76" s="7"/>
    </row>
    <row r="77" ht="11.25">
      <c r="C77" s="7"/>
    </row>
    <row r="78" ht="11.25">
      <c r="C78" s="7"/>
    </row>
    <row r="79" ht="11.25">
      <c r="C79" s="7"/>
    </row>
    <row r="80" ht="11.25">
      <c r="C80" s="7"/>
    </row>
    <row r="81" ht="11.25">
      <c r="C81" s="7"/>
    </row>
    <row r="82" ht="11.25">
      <c r="C82" s="7"/>
    </row>
    <row r="83" ht="11.25">
      <c r="C83" s="7"/>
    </row>
    <row r="84" ht="11.25">
      <c r="C84" s="7"/>
    </row>
    <row r="85" ht="11.25">
      <c r="C85" s="7"/>
    </row>
    <row r="86" ht="11.25">
      <c r="C86" s="7"/>
    </row>
    <row r="87" ht="11.25">
      <c r="C87" s="7"/>
    </row>
    <row r="88" ht="11.25">
      <c r="C88" s="7"/>
    </row>
    <row r="89" ht="11.25">
      <c r="C89" s="7"/>
    </row>
    <row r="90" ht="11.25">
      <c r="C90" s="7"/>
    </row>
    <row r="91" ht="11.25">
      <c r="C91" s="7"/>
    </row>
    <row r="92" ht="11.25">
      <c r="C92" s="7"/>
    </row>
    <row r="93" ht="11.25">
      <c r="C93" s="7"/>
    </row>
    <row r="94" ht="11.25">
      <c r="C94" s="7"/>
    </row>
    <row r="95" ht="11.25">
      <c r="C95" s="7"/>
    </row>
    <row r="96" ht="11.25">
      <c r="C96" s="7"/>
    </row>
    <row r="97" ht="11.25">
      <c r="C97" s="7"/>
    </row>
    <row r="98" ht="11.25">
      <c r="C98" s="7"/>
    </row>
    <row r="99" ht="11.25">
      <c r="C99" s="7"/>
    </row>
    <row r="100" ht="11.25">
      <c r="C100" s="7"/>
    </row>
    <row r="101" ht="11.25">
      <c r="C101" s="7"/>
    </row>
    <row r="102" ht="11.25">
      <c r="C102" s="7"/>
    </row>
    <row r="103" ht="11.25">
      <c r="C103" s="7"/>
    </row>
    <row r="104" ht="11.25">
      <c r="C104" s="7"/>
    </row>
    <row r="105" ht="11.25">
      <c r="C105" s="7"/>
    </row>
    <row r="106" ht="11.25">
      <c r="C106" s="7"/>
    </row>
    <row r="107" ht="11.25">
      <c r="C107" s="7"/>
    </row>
    <row r="108" ht="11.25">
      <c r="C108" s="7"/>
    </row>
    <row r="109" ht="11.25">
      <c r="C109" s="7"/>
    </row>
    <row r="110" ht="11.25">
      <c r="C110" s="7"/>
    </row>
    <row r="111" ht="11.25">
      <c r="C111" s="7"/>
    </row>
    <row r="112" ht="11.25">
      <c r="C112" s="7"/>
    </row>
    <row r="113" ht="11.25">
      <c r="C113" s="7"/>
    </row>
    <row r="114" ht="11.25">
      <c r="C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34" ht="11.25">
      <c r="C134" s="7"/>
    </row>
    <row r="135" ht="11.25">
      <c r="C135" s="7"/>
    </row>
    <row r="136" ht="11.25">
      <c r="C136" s="7"/>
    </row>
    <row r="137" ht="11.25">
      <c r="C137" s="7"/>
    </row>
    <row r="138" ht="11.25">
      <c r="C138" s="7"/>
    </row>
    <row r="139" ht="11.25">
      <c r="C139" s="7"/>
    </row>
    <row r="140" ht="11.25">
      <c r="C140" s="7"/>
    </row>
    <row r="141" ht="11.25">
      <c r="C141" s="7"/>
    </row>
    <row r="142" ht="11.25">
      <c r="C142" s="7"/>
    </row>
    <row r="143" ht="11.25">
      <c r="C143" s="7"/>
    </row>
    <row r="144" ht="11.25">
      <c r="C144" s="7"/>
    </row>
    <row r="145" ht="11.25">
      <c r="C145" s="7"/>
    </row>
    <row r="146" ht="11.25">
      <c r="C146" s="7"/>
    </row>
    <row r="147" ht="11.25">
      <c r="C147" s="7"/>
    </row>
    <row r="148" ht="11.25">
      <c r="C148" s="7"/>
    </row>
    <row r="149" ht="11.25">
      <c r="C149" s="7"/>
    </row>
    <row r="150" ht="11.25">
      <c r="C150" s="7"/>
    </row>
    <row r="151" ht="11.25">
      <c r="C151" s="7"/>
    </row>
    <row r="152" ht="11.25">
      <c r="C152" s="7"/>
    </row>
    <row r="153" ht="11.25">
      <c r="C153" s="7"/>
    </row>
    <row r="154" ht="11.25">
      <c r="C154" s="7"/>
    </row>
    <row r="155" ht="11.25">
      <c r="C155" s="7"/>
    </row>
    <row r="156" ht="11.25">
      <c r="C156" s="7"/>
    </row>
    <row r="157" ht="11.25">
      <c r="C157" s="7"/>
    </row>
    <row r="158" ht="11.25">
      <c r="C158" s="7"/>
    </row>
    <row r="159" ht="11.25">
      <c r="C159" s="7"/>
    </row>
    <row r="160" ht="11.25">
      <c r="C160" s="7"/>
    </row>
    <row r="161" ht="11.25">
      <c r="C161" s="7"/>
    </row>
    <row r="162" ht="11.25">
      <c r="C162" s="7"/>
    </row>
    <row r="163" ht="11.25">
      <c r="C163" s="7"/>
    </row>
    <row r="164" ht="11.25">
      <c r="C164" s="7"/>
    </row>
    <row r="165" ht="11.25">
      <c r="C165" s="7"/>
    </row>
    <row r="166" ht="11.25">
      <c r="C166" s="7"/>
    </row>
    <row r="167" ht="11.25">
      <c r="C167" s="7"/>
    </row>
    <row r="168" ht="11.25">
      <c r="C168" s="7"/>
    </row>
    <row r="169" ht="11.25">
      <c r="C169" s="7"/>
    </row>
    <row r="170" ht="11.25">
      <c r="C170" s="7"/>
    </row>
    <row r="171" ht="11.25">
      <c r="C171" s="7"/>
    </row>
    <row r="172" ht="11.25">
      <c r="C172" s="7"/>
    </row>
    <row r="173" ht="11.25">
      <c r="C173" s="7"/>
    </row>
    <row r="174" ht="11.25">
      <c r="C174" s="7"/>
    </row>
    <row r="175" ht="11.25">
      <c r="C175" s="7"/>
    </row>
    <row r="176" ht="11.25">
      <c r="C176" s="7"/>
    </row>
    <row r="177" ht="11.25">
      <c r="C177" s="7"/>
    </row>
    <row r="178" ht="11.25">
      <c r="C178" s="7"/>
    </row>
    <row r="179" ht="11.25">
      <c r="C179" s="7"/>
    </row>
    <row r="180" ht="11.25">
      <c r="C180" s="7"/>
    </row>
    <row r="181" ht="11.25">
      <c r="C181" s="7"/>
    </row>
    <row r="182" ht="11.25">
      <c r="C182" s="7"/>
    </row>
    <row r="183" ht="11.25">
      <c r="C183" s="7"/>
    </row>
    <row r="184" ht="11.25">
      <c r="C184" s="7"/>
    </row>
    <row r="185" ht="11.25">
      <c r="C185" s="7"/>
    </row>
    <row r="186" ht="11.25">
      <c r="C186" s="7"/>
    </row>
    <row r="187" ht="11.25">
      <c r="C187" s="7"/>
    </row>
    <row r="188" ht="11.25">
      <c r="C188" s="7"/>
    </row>
    <row r="189" ht="11.25">
      <c r="C189" s="7"/>
    </row>
    <row r="190" ht="11.25">
      <c r="C190" s="7"/>
    </row>
    <row r="191" ht="11.25">
      <c r="C191" s="7"/>
    </row>
    <row r="192" ht="11.25">
      <c r="C192" s="7"/>
    </row>
    <row r="193" ht="11.25">
      <c r="C193" s="7"/>
    </row>
    <row r="194" ht="11.25">
      <c r="C194" s="7"/>
    </row>
    <row r="195" ht="11.25">
      <c r="C195" s="7"/>
    </row>
    <row r="196" ht="11.25">
      <c r="C196" s="7"/>
    </row>
    <row r="197" ht="11.25">
      <c r="C197" s="7"/>
    </row>
    <row r="198" ht="11.25">
      <c r="C198" s="7"/>
    </row>
    <row r="199" ht="11.25">
      <c r="C199" s="7"/>
    </row>
    <row r="200" ht="11.25">
      <c r="C200" s="7"/>
    </row>
    <row r="201" ht="11.25">
      <c r="C201" s="7"/>
    </row>
    <row r="202" ht="11.25">
      <c r="C202" s="7"/>
    </row>
    <row r="203" ht="11.25">
      <c r="C203" s="7"/>
    </row>
    <row r="204" ht="11.25">
      <c r="C204" s="7"/>
    </row>
    <row r="205" ht="11.25">
      <c r="C205" s="7"/>
    </row>
    <row r="206" ht="11.25">
      <c r="C206" s="7"/>
    </row>
    <row r="207" ht="11.25">
      <c r="C207" s="7"/>
    </row>
    <row r="208" ht="11.25">
      <c r="C208" s="7"/>
    </row>
    <row r="209" ht="11.25">
      <c r="C209" s="7"/>
    </row>
    <row r="210" ht="11.25">
      <c r="C210" s="7"/>
    </row>
    <row r="211" ht="11.25">
      <c r="C211" s="7"/>
    </row>
    <row r="212" ht="11.25">
      <c r="C212" s="7"/>
    </row>
    <row r="213" ht="11.25">
      <c r="C213" s="7"/>
    </row>
    <row r="214" ht="11.25">
      <c r="C214" s="7"/>
    </row>
    <row r="215" ht="11.25">
      <c r="C215" s="7"/>
    </row>
    <row r="216" ht="11.25">
      <c r="C216" s="7"/>
    </row>
    <row r="217" ht="11.25">
      <c r="C217" s="7"/>
    </row>
    <row r="218" ht="11.25">
      <c r="C218" s="7"/>
    </row>
    <row r="219" ht="11.25">
      <c r="C219" s="7"/>
    </row>
    <row r="220" ht="11.25">
      <c r="C220" s="7"/>
    </row>
    <row r="221" ht="11.25">
      <c r="C221" s="7"/>
    </row>
    <row r="222" ht="11.25">
      <c r="C222" s="7"/>
    </row>
    <row r="223" ht="11.25">
      <c r="C223" s="7"/>
    </row>
    <row r="224" ht="11.25">
      <c r="C224" s="7"/>
    </row>
    <row r="225" ht="11.25">
      <c r="C225" s="7"/>
    </row>
    <row r="226" ht="11.25">
      <c r="C226" s="7"/>
    </row>
    <row r="227" ht="11.25">
      <c r="C227" s="7"/>
    </row>
    <row r="228" ht="11.25">
      <c r="C228" s="7"/>
    </row>
    <row r="229" ht="11.25">
      <c r="C229" s="7"/>
    </row>
    <row r="230" ht="11.25">
      <c r="C230" s="7"/>
    </row>
    <row r="231" ht="11.25">
      <c r="C231" s="7"/>
    </row>
    <row r="232" ht="11.25">
      <c r="C232" s="7"/>
    </row>
    <row r="233" ht="11.25">
      <c r="C233" s="7"/>
    </row>
    <row r="234" ht="11.25">
      <c r="C234" s="7"/>
    </row>
    <row r="235" ht="11.25">
      <c r="C235" s="7"/>
    </row>
    <row r="236" ht="11.25">
      <c r="C236" s="7"/>
    </row>
    <row r="237" ht="11.25">
      <c r="C237" s="7"/>
    </row>
    <row r="238" ht="11.25">
      <c r="C238" s="7"/>
    </row>
    <row r="239" ht="11.25">
      <c r="C239" s="7"/>
    </row>
    <row r="240" ht="11.25">
      <c r="C240" s="7"/>
    </row>
    <row r="241" ht="11.25">
      <c r="C241" s="7"/>
    </row>
    <row r="242" ht="11.25">
      <c r="C242" s="7"/>
    </row>
    <row r="243" ht="11.25">
      <c r="C243" s="7"/>
    </row>
    <row r="244" ht="11.25">
      <c r="C244" s="7"/>
    </row>
    <row r="245" ht="11.25">
      <c r="C245" s="7"/>
    </row>
    <row r="246" ht="11.25">
      <c r="C246" s="7"/>
    </row>
    <row r="247" ht="11.25">
      <c r="C247" s="7"/>
    </row>
    <row r="248" ht="11.25">
      <c r="C248" s="7"/>
    </row>
    <row r="249" ht="11.25">
      <c r="C249" s="7"/>
    </row>
    <row r="250" ht="11.25">
      <c r="C250" s="7"/>
    </row>
    <row r="251" ht="11.25">
      <c r="C251" s="7"/>
    </row>
    <row r="252" ht="11.25">
      <c r="C252" s="7"/>
    </row>
    <row r="253" ht="11.25">
      <c r="C253" s="7"/>
    </row>
  </sheetData>
  <sheetProtection/>
  <mergeCells count="6">
    <mergeCell ref="B1:M1"/>
    <mergeCell ref="B2:M2"/>
    <mergeCell ref="B3:M3"/>
    <mergeCell ref="B4:M4"/>
    <mergeCell ref="B5:M5"/>
    <mergeCell ref="B6:M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AG51"/>
  <sheetViews>
    <sheetView zoomScalePageLayoutView="0" workbookViewId="0" topLeftCell="A1">
      <pane xSplit="5" ySplit="9" topLeftCell="F34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A50" sqref="A50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2.8515625" style="15" customWidth="1"/>
    <col min="4" max="4" width="8.00390625" style="15" customWidth="1"/>
    <col min="5" max="5" width="22.421875" style="15" bestFit="1" customWidth="1"/>
    <col min="6" max="6" width="1.421875" style="15" customWidth="1"/>
    <col min="7" max="7" width="12.57421875" style="15" bestFit="1" customWidth="1"/>
    <col min="8" max="8" width="0.85546875" style="15" customWidth="1"/>
    <col min="9" max="9" width="11.57421875" style="15" bestFit="1" customWidth="1"/>
    <col min="10" max="10" width="0.85546875" style="15" customWidth="1"/>
    <col min="11" max="11" width="10.00390625" style="69" bestFit="1" customWidth="1"/>
    <col min="12" max="12" width="0.85546875" style="15" customWidth="1"/>
    <col min="13" max="13" width="11.57421875" style="15" bestFit="1" customWidth="1"/>
    <col min="14" max="14" width="0.85546875" style="15" customWidth="1"/>
    <col min="15" max="15" width="13.00390625" style="15" bestFit="1" customWidth="1"/>
    <col min="16" max="16" width="1.57421875" style="15" customWidth="1"/>
    <col min="17" max="17" width="9.140625" style="15" customWidth="1"/>
    <col min="18" max="33" width="0" style="15" hidden="1" customWidth="1"/>
    <col min="34" max="34" width="11.57421875" style="68" bestFit="1" customWidth="1"/>
    <col min="35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6" t="s">
        <v>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2" t="s">
        <v>125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6"/>
      <c r="I7" s="16"/>
    </row>
    <row r="8" spans="7:32" ht="11.25">
      <c r="G8" s="16"/>
      <c r="I8" s="16"/>
      <c r="K8" s="169"/>
      <c r="M8" s="16" t="s">
        <v>37</v>
      </c>
      <c r="O8" s="16"/>
      <c r="R8" s="16" t="s">
        <v>40</v>
      </c>
      <c r="S8" s="16"/>
      <c r="V8" s="16" t="s">
        <v>32</v>
      </c>
      <c r="X8" s="16" t="s">
        <v>34</v>
      </c>
      <c r="Z8" s="16" t="s">
        <v>36</v>
      </c>
      <c r="AB8" s="16" t="s">
        <v>35</v>
      </c>
      <c r="AD8" s="16" t="s">
        <v>37</v>
      </c>
      <c r="AF8" s="16" t="s">
        <v>31</v>
      </c>
    </row>
    <row r="9" spans="3:32" ht="11.25">
      <c r="C9" s="17"/>
      <c r="D9" s="17"/>
      <c r="E9" s="17"/>
      <c r="F9" s="17"/>
      <c r="G9" s="4" t="s">
        <v>104</v>
      </c>
      <c r="H9" s="2"/>
      <c r="I9" s="4" t="s">
        <v>105</v>
      </c>
      <c r="J9" s="2"/>
      <c r="K9" s="189" t="s">
        <v>106</v>
      </c>
      <c r="M9" s="26" t="s">
        <v>38</v>
      </c>
      <c r="N9" s="24"/>
      <c r="O9" s="26" t="s">
        <v>39</v>
      </c>
      <c r="R9" s="26" t="s">
        <v>41</v>
      </c>
      <c r="S9" s="16"/>
      <c r="T9" s="26" t="s">
        <v>42</v>
      </c>
      <c r="V9" s="26" t="s">
        <v>33</v>
      </c>
      <c r="X9" s="26" t="s">
        <v>35</v>
      </c>
      <c r="Z9" s="26" t="s">
        <v>10</v>
      </c>
      <c r="AB9" s="26" t="s">
        <v>10</v>
      </c>
      <c r="AD9" s="26" t="s">
        <v>38</v>
      </c>
      <c r="AE9" s="24"/>
      <c r="AF9" s="26" t="s">
        <v>39</v>
      </c>
    </row>
    <row r="10" spans="3:32" ht="11.25">
      <c r="C10" s="17"/>
      <c r="D10" s="17"/>
      <c r="E10" s="17"/>
      <c r="F10" s="17"/>
      <c r="G10" s="18"/>
      <c r="M10" s="18"/>
      <c r="O10" s="18"/>
      <c r="V10" s="18"/>
      <c r="X10" s="18"/>
      <c r="Z10" s="18"/>
      <c r="AD10" s="18"/>
      <c r="AF10" s="18"/>
    </row>
    <row r="11" spans="2:32" ht="11.25">
      <c r="B11" s="21" t="s">
        <v>52</v>
      </c>
      <c r="G11" s="18"/>
      <c r="M11" s="18"/>
      <c r="O11" s="18"/>
      <c r="V11" s="18"/>
      <c r="X11" s="18"/>
      <c r="Z11" s="18"/>
      <c r="AD11" s="18"/>
      <c r="AF11" s="18"/>
    </row>
    <row r="12" spans="3:32" ht="11.25">
      <c r="C12" s="27" t="s">
        <v>0</v>
      </c>
      <c r="D12" s="27"/>
      <c r="E12" s="27"/>
      <c r="F12" s="27"/>
      <c r="G12" s="87">
        <v>99928.6766</v>
      </c>
      <c r="H12" s="87"/>
      <c r="I12" s="174">
        <v>226.44314</v>
      </c>
      <c r="J12" s="95"/>
      <c r="K12" s="95">
        <v>10000</v>
      </c>
      <c r="L12" s="87"/>
      <c r="M12" s="87">
        <v>0</v>
      </c>
      <c r="N12" s="87"/>
      <c r="O12" s="87">
        <v>110155.11974000001</v>
      </c>
      <c r="R12" s="28">
        <v>0</v>
      </c>
      <c r="S12" s="28"/>
      <c r="T12" s="28">
        <v>8.64613</v>
      </c>
      <c r="U12" s="28"/>
      <c r="V12" s="28">
        <v>45.69321</v>
      </c>
      <c r="W12" s="28"/>
      <c r="X12" s="28">
        <v>-71.32339999999999</v>
      </c>
      <c r="Y12" s="28"/>
      <c r="Z12" s="28">
        <v>40.0534</v>
      </c>
      <c r="AA12" s="28"/>
      <c r="AB12" s="28">
        <v>186.38974</v>
      </c>
      <c r="AC12" s="28"/>
      <c r="AD12" s="28">
        <v>0</v>
      </c>
      <c r="AE12" s="28"/>
      <c r="AF12" s="28">
        <v>209.45908</v>
      </c>
    </row>
    <row r="13" spans="3:32" ht="11.25">
      <c r="C13" s="27" t="s">
        <v>26</v>
      </c>
      <c r="D13" s="27"/>
      <c r="E13" s="27"/>
      <c r="F13" s="27"/>
      <c r="G13" s="88">
        <v>335.20953000000003</v>
      </c>
      <c r="H13" s="89"/>
      <c r="I13" s="148">
        <v>5550.36656</v>
      </c>
      <c r="J13" s="89"/>
      <c r="K13" s="173">
        <v>0</v>
      </c>
      <c r="L13" s="89"/>
      <c r="M13" s="88">
        <v>0</v>
      </c>
      <c r="N13" s="89"/>
      <c r="O13" s="90">
        <v>5885.5760900000005</v>
      </c>
      <c r="R13" s="18">
        <v>0</v>
      </c>
      <c r="T13" s="18">
        <v>2.1835999999999998</v>
      </c>
      <c r="V13" s="18">
        <v>60.58474</v>
      </c>
      <c r="X13" s="47">
        <v>335.20953000000003</v>
      </c>
      <c r="Y13" s="57"/>
      <c r="Z13" s="47">
        <v>49.72681</v>
      </c>
      <c r="AA13" s="57"/>
      <c r="AB13" s="47">
        <v>5500.63975</v>
      </c>
      <c r="AC13" s="57"/>
      <c r="AD13" s="47">
        <v>0</v>
      </c>
      <c r="AE13" s="57"/>
      <c r="AF13" s="47">
        <v>5948.34443</v>
      </c>
    </row>
    <row r="14" spans="3:32" ht="11.25">
      <c r="C14" s="27" t="s">
        <v>1</v>
      </c>
      <c r="D14" s="27"/>
      <c r="E14" s="27"/>
      <c r="F14" s="27"/>
      <c r="G14" s="88">
        <v>4582.96723</v>
      </c>
      <c r="H14" s="89"/>
      <c r="I14" s="148">
        <v>2860.9743900000003</v>
      </c>
      <c r="J14" s="89"/>
      <c r="K14" s="173">
        <v>0</v>
      </c>
      <c r="L14" s="89"/>
      <c r="M14" s="88">
        <v>-7443.9416200000005</v>
      </c>
      <c r="N14" s="89"/>
      <c r="O14" s="90">
        <v>0</v>
      </c>
      <c r="R14" s="18">
        <v>0</v>
      </c>
      <c r="T14" s="18">
        <v>-164.69534</v>
      </c>
      <c r="V14" s="18">
        <v>136.02888000000002</v>
      </c>
      <c r="X14" s="47">
        <v>4582.96723</v>
      </c>
      <c r="Y14" s="57"/>
      <c r="Z14" s="47">
        <v>3483.9743900000003</v>
      </c>
      <c r="AA14" s="57"/>
      <c r="AB14" s="47">
        <v>-1435.62144</v>
      </c>
      <c r="AC14" s="57"/>
      <c r="AD14" s="47">
        <v>-7443.77524</v>
      </c>
      <c r="AE14" s="57"/>
      <c r="AF14" s="47">
        <v>-841.1215199999997</v>
      </c>
    </row>
    <row r="15" spans="3:32" ht="11.25">
      <c r="C15" s="27" t="s">
        <v>27</v>
      </c>
      <c r="D15" s="27"/>
      <c r="E15" s="27"/>
      <c r="F15" s="27"/>
      <c r="G15" s="88">
        <v>1546.14192</v>
      </c>
      <c r="H15" s="89"/>
      <c r="I15" s="148">
        <v>21739.10268</v>
      </c>
      <c r="J15" s="89"/>
      <c r="K15" s="173">
        <v>0</v>
      </c>
      <c r="L15" s="89"/>
      <c r="M15" s="88">
        <v>0</v>
      </c>
      <c r="N15" s="89"/>
      <c r="O15" s="90">
        <v>23285.244599999998</v>
      </c>
      <c r="R15" s="18">
        <v>0</v>
      </c>
      <c r="T15" s="18">
        <v>0</v>
      </c>
      <c r="V15" s="18">
        <v>0</v>
      </c>
      <c r="X15" s="47">
        <v>1546.14192</v>
      </c>
      <c r="Y15" s="57"/>
      <c r="Z15" s="47">
        <v>0</v>
      </c>
      <c r="AA15" s="57"/>
      <c r="AB15" s="47">
        <v>21739.10268</v>
      </c>
      <c r="AC15" s="57"/>
      <c r="AD15" s="47">
        <v>0</v>
      </c>
      <c r="AE15" s="57"/>
      <c r="AF15" s="47">
        <v>23285.244599999998</v>
      </c>
    </row>
    <row r="16" spans="3:32" ht="11.25">
      <c r="C16" s="27" t="s">
        <v>28</v>
      </c>
      <c r="D16" s="27"/>
      <c r="E16" s="27"/>
      <c r="F16" s="27"/>
      <c r="G16" s="88">
        <v>7389.43784</v>
      </c>
      <c r="H16" s="89"/>
      <c r="I16" s="148">
        <v>16651.099789999997</v>
      </c>
      <c r="J16" s="89"/>
      <c r="K16" s="173">
        <v>0</v>
      </c>
      <c r="L16" s="89"/>
      <c r="M16" s="88">
        <v>0</v>
      </c>
      <c r="N16" s="89"/>
      <c r="O16" s="90">
        <v>24040.537629999995</v>
      </c>
      <c r="R16" s="18">
        <v>0</v>
      </c>
      <c r="T16" s="18">
        <v>36.96</v>
      </c>
      <c r="V16" s="18">
        <v>0</v>
      </c>
      <c r="X16" s="47">
        <v>7389.43784</v>
      </c>
      <c r="Y16" s="57"/>
      <c r="Z16" s="47">
        <v>223.816</v>
      </c>
      <c r="AA16" s="57"/>
      <c r="AB16" s="47">
        <v>16427.283789999998</v>
      </c>
      <c r="AC16" s="57"/>
      <c r="AD16" s="47">
        <v>0</v>
      </c>
      <c r="AE16" s="57"/>
      <c r="AF16" s="47">
        <v>24077.497629999998</v>
      </c>
    </row>
    <row r="17" spans="4:32" ht="11.25">
      <c r="D17" s="22" t="s">
        <v>50</v>
      </c>
      <c r="E17" s="22"/>
      <c r="F17" s="22"/>
      <c r="G17" s="91">
        <f>SUM(G12:G16)</f>
        <v>113782.43311999999</v>
      </c>
      <c r="H17" s="91">
        <f aca="true" t="shared" si="0" ref="H17:O17">SUM(H12:H16)</f>
        <v>0</v>
      </c>
      <c r="I17" s="91">
        <f t="shared" si="0"/>
        <v>47027.98656</v>
      </c>
      <c r="J17" s="91">
        <f t="shared" si="0"/>
        <v>0</v>
      </c>
      <c r="K17" s="91">
        <f t="shared" si="0"/>
        <v>10000</v>
      </c>
      <c r="L17" s="91">
        <f t="shared" si="0"/>
        <v>0</v>
      </c>
      <c r="M17" s="91">
        <f t="shared" si="0"/>
        <v>-7443.9416200000005</v>
      </c>
      <c r="N17" s="91">
        <f t="shared" si="0"/>
        <v>0</v>
      </c>
      <c r="O17" s="91">
        <f t="shared" si="0"/>
        <v>163366.47806000002</v>
      </c>
      <c r="R17" s="20">
        <v>0</v>
      </c>
      <c r="T17" s="20">
        <v>-117.84938999999997</v>
      </c>
      <c r="U17" s="23"/>
      <c r="V17" s="20">
        <v>268.50683000000004</v>
      </c>
      <c r="W17" s="23"/>
      <c r="X17" s="58">
        <v>52430.194890000006</v>
      </c>
      <c r="Y17" s="57"/>
      <c r="Z17" s="58">
        <v>3663.7900899999995</v>
      </c>
      <c r="AA17" s="48"/>
      <c r="AB17" s="58">
        <v>327.3231499999979</v>
      </c>
      <c r="AC17" s="57"/>
      <c r="AD17" s="58">
        <v>-7443.77524</v>
      </c>
      <c r="AE17" s="57"/>
      <c r="AF17" s="58">
        <v>49128.19033</v>
      </c>
    </row>
    <row r="18" spans="7:32" ht="11.25">
      <c r="G18" s="92"/>
      <c r="H18" s="89"/>
      <c r="I18" s="149"/>
      <c r="J18" s="89"/>
      <c r="K18" s="173"/>
      <c r="L18" s="89"/>
      <c r="M18" s="92"/>
      <c r="N18" s="89"/>
      <c r="O18" s="92"/>
      <c r="R18" s="23"/>
      <c r="T18" s="23"/>
      <c r="U18" s="23"/>
      <c r="V18" s="23"/>
      <c r="W18" s="23"/>
      <c r="X18" s="48"/>
      <c r="Y18" s="57"/>
      <c r="Z18" s="48"/>
      <c r="AA18" s="48"/>
      <c r="AB18" s="48"/>
      <c r="AC18" s="57"/>
      <c r="AD18" s="48"/>
      <c r="AE18" s="57"/>
      <c r="AF18" s="48"/>
    </row>
    <row r="19" spans="2:32" ht="11.25">
      <c r="B19" s="29" t="s">
        <v>54</v>
      </c>
      <c r="G19" s="88">
        <v>30719</v>
      </c>
      <c r="H19" s="89"/>
      <c r="I19" s="148">
        <v>64673</v>
      </c>
      <c r="J19" s="89"/>
      <c r="K19" s="173">
        <v>0</v>
      </c>
      <c r="L19" s="89"/>
      <c r="M19" s="88">
        <v>0</v>
      </c>
      <c r="N19" s="89"/>
      <c r="O19" s="90">
        <v>95392</v>
      </c>
      <c r="R19" s="18">
        <v>0</v>
      </c>
      <c r="T19" s="18">
        <v>0</v>
      </c>
      <c r="V19" s="18">
        <v>3.061149999999998</v>
      </c>
      <c r="X19" s="47">
        <v>30718.631260000002</v>
      </c>
      <c r="Y19" s="57"/>
      <c r="Z19" s="47">
        <v>6404.58865</v>
      </c>
      <c r="AA19" s="57"/>
      <c r="AB19" s="47">
        <v>58268.629830000005</v>
      </c>
      <c r="AC19" s="57"/>
      <c r="AD19" s="47">
        <v>0</v>
      </c>
      <c r="AE19" s="57"/>
      <c r="AF19" s="47">
        <v>95394.91089</v>
      </c>
    </row>
    <row r="20" spans="2:32" ht="11.25">
      <c r="B20" s="29" t="s">
        <v>55</v>
      </c>
      <c r="G20" s="88">
        <v>210446</v>
      </c>
      <c r="H20" s="89"/>
      <c r="I20" s="148">
        <v>3351</v>
      </c>
      <c r="J20" s="89"/>
      <c r="K20" s="173">
        <v>0</v>
      </c>
      <c r="L20" s="89"/>
      <c r="M20" s="88">
        <v>0</v>
      </c>
      <c r="N20" s="89"/>
      <c r="O20" s="90">
        <v>213797</v>
      </c>
      <c r="R20" s="18">
        <v>0</v>
      </c>
      <c r="T20" s="18">
        <v>0</v>
      </c>
      <c r="V20" s="18">
        <v>74.451</v>
      </c>
      <c r="X20" s="47">
        <v>210446.08755999996</v>
      </c>
      <c r="Y20" s="57"/>
      <c r="Z20" s="47">
        <v>0</v>
      </c>
      <c r="AA20" s="57"/>
      <c r="AB20" s="47">
        <v>3351.3193300000003</v>
      </c>
      <c r="AC20" s="57"/>
      <c r="AD20" s="47">
        <v>0</v>
      </c>
      <c r="AE20" s="57"/>
      <c r="AF20" s="47">
        <v>213871.85788999996</v>
      </c>
    </row>
    <row r="21" spans="2:32" ht="11.25">
      <c r="B21" s="15" t="s">
        <v>43</v>
      </c>
      <c r="G21" s="88">
        <v>9215.69715</v>
      </c>
      <c r="H21" s="89"/>
      <c r="I21" s="148">
        <v>5554.18838</v>
      </c>
      <c r="J21" s="89"/>
      <c r="K21" s="173">
        <v>0</v>
      </c>
      <c r="L21" s="89"/>
      <c r="M21" s="88">
        <v>0</v>
      </c>
      <c r="N21" s="89"/>
      <c r="O21" s="90">
        <v>14769.88553</v>
      </c>
      <c r="R21" s="18">
        <v>0</v>
      </c>
      <c r="T21" s="18">
        <v>0</v>
      </c>
      <c r="V21" s="18">
        <v>0</v>
      </c>
      <c r="X21" s="47">
        <v>9215.69715</v>
      </c>
      <c r="Y21" s="57"/>
      <c r="Z21" s="47">
        <v>0</v>
      </c>
      <c r="AA21" s="57"/>
      <c r="AB21" s="47">
        <v>5554.18838</v>
      </c>
      <c r="AC21" s="57"/>
      <c r="AD21" s="47">
        <v>0</v>
      </c>
      <c r="AE21" s="57"/>
      <c r="AF21" s="47">
        <v>14769.88553</v>
      </c>
    </row>
    <row r="22" spans="2:32" ht="11.25">
      <c r="B22" s="15" t="s">
        <v>56</v>
      </c>
      <c r="G22" s="88">
        <v>1065.51363</v>
      </c>
      <c r="H22" s="89"/>
      <c r="I22" s="148">
        <v>3023.54739</v>
      </c>
      <c r="J22" s="89"/>
      <c r="K22" s="173">
        <v>350000</v>
      </c>
      <c r="L22" s="89"/>
      <c r="M22" s="88">
        <v>0</v>
      </c>
      <c r="N22" s="89"/>
      <c r="O22" s="90">
        <v>354089.06102</v>
      </c>
      <c r="R22" s="18">
        <v>0</v>
      </c>
      <c r="T22" s="18">
        <v>0</v>
      </c>
      <c r="V22" s="18">
        <v>0</v>
      </c>
      <c r="X22" s="47">
        <v>1065.51363</v>
      </c>
      <c r="Y22" s="57"/>
      <c r="Z22" s="47">
        <v>20.035</v>
      </c>
      <c r="AA22" s="57"/>
      <c r="AB22" s="47">
        <v>3003.5123900000003</v>
      </c>
      <c r="AC22" s="57"/>
      <c r="AD22" s="47">
        <v>0</v>
      </c>
      <c r="AE22" s="57"/>
      <c r="AF22" s="47">
        <v>4089.06102</v>
      </c>
    </row>
    <row r="23" spans="3:32" ht="12" thickBot="1">
      <c r="C23" s="22" t="s">
        <v>51</v>
      </c>
      <c r="G23" s="93">
        <f>SUM(G17:G22)</f>
        <v>365228.6439</v>
      </c>
      <c r="H23" s="93">
        <f aca="true" t="shared" si="1" ref="H23:O23">SUM(H17:H22)</f>
        <v>0</v>
      </c>
      <c r="I23" s="93">
        <f t="shared" si="1"/>
        <v>123629.72233</v>
      </c>
      <c r="J23" s="93">
        <f t="shared" si="1"/>
        <v>0</v>
      </c>
      <c r="K23" s="93">
        <f t="shared" si="1"/>
        <v>360000</v>
      </c>
      <c r="L23" s="93">
        <f t="shared" si="1"/>
        <v>0</v>
      </c>
      <c r="M23" s="93">
        <f t="shared" si="1"/>
        <v>-7443.9416200000005</v>
      </c>
      <c r="N23" s="93">
        <f t="shared" si="1"/>
        <v>0</v>
      </c>
      <c r="O23" s="93">
        <f t="shared" si="1"/>
        <v>841414.42461</v>
      </c>
      <c r="R23" s="39">
        <v>0</v>
      </c>
      <c r="T23" s="39">
        <v>-117.84938999999997</v>
      </c>
      <c r="U23" s="25"/>
      <c r="V23" s="39">
        <v>2855.5989799999998</v>
      </c>
      <c r="W23" s="25"/>
      <c r="X23" s="59">
        <v>306385.32848</v>
      </c>
      <c r="Y23" s="57"/>
      <c r="Z23" s="59">
        <v>10088.41374</v>
      </c>
      <c r="AA23" s="60"/>
      <c r="AB23" s="59">
        <v>84389.41768999999</v>
      </c>
      <c r="AC23" s="57"/>
      <c r="AD23" s="59">
        <v>-7443.77524</v>
      </c>
      <c r="AE23" s="57"/>
      <c r="AF23" s="59">
        <v>396157.13426</v>
      </c>
    </row>
    <row r="24" spans="7:32" ht="12" thickTop="1">
      <c r="G24" s="88"/>
      <c r="H24" s="89"/>
      <c r="I24" s="150"/>
      <c r="J24" s="89"/>
      <c r="K24" s="173"/>
      <c r="L24" s="89"/>
      <c r="M24" s="88"/>
      <c r="N24" s="89"/>
      <c r="O24" s="88"/>
      <c r="R24" s="18"/>
      <c r="T24" s="18"/>
      <c r="U24" s="23"/>
      <c r="V24" s="18"/>
      <c r="W24" s="23"/>
      <c r="X24" s="47"/>
      <c r="Y24" s="57"/>
      <c r="Z24" s="47"/>
      <c r="AA24" s="48"/>
      <c r="AB24" s="47"/>
      <c r="AC24" s="57"/>
      <c r="AD24" s="47"/>
      <c r="AE24" s="57"/>
      <c r="AF24" s="47"/>
    </row>
    <row r="25" spans="2:32" ht="11.25">
      <c r="B25" s="21" t="s">
        <v>60</v>
      </c>
      <c r="D25" s="21"/>
      <c r="E25" s="21"/>
      <c r="F25" s="21"/>
      <c r="G25" s="88"/>
      <c r="H25" s="89"/>
      <c r="I25" s="150"/>
      <c r="J25" s="89"/>
      <c r="K25" s="173"/>
      <c r="L25" s="89"/>
      <c r="M25" s="88"/>
      <c r="N25" s="89"/>
      <c r="O25" s="88"/>
      <c r="R25" s="18"/>
      <c r="T25" s="18"/>
      <c r="U25" s="23"/>
      <c r="V25" s="18"/>
      <c r="W25" s="23"/>
      <c r="X25" s="47"/>
      <c r="Y25" s="57"/>
      <c r="Z25" s="47"/>
      <c r="AA25" s="48"/>
      <c r="AB25" s="47"/>
      <c r="AC25" s="57"/>
      <c r="AD25" s="47"/>
      <c r="AE25" s="57"/>
      <c r="AF25" s="47"/>
    </row>
    <row r="26" spans="3:32" ht="11.25">
      <c r="C26" s="27" t="s">
        <v>44</v>
      </c>
      <c r="D26" s="19"/>
      <c r="E26" s="19"/>
      <c r="F26" s="19"/>
      <c r="G26" s="94">
        <v>906.8548199999999</v>
      </c>
      <c r="H26" s="94"/>
      <c r="I26" s="174">
        <v>8440.27382</v>
      </c>
      <c r="J26" s="175"/>
      <c r="K26" s="175">
        <v>0</v>
      </c>
      <c r="L26" s="94"/>
      <c r="M26" s="94">
        <v>0</v>
      </c>
      <c r="N26" s="94"/>
      <c r="O26" s="95">
        <v>9347.12864</v>
      </c>
      <c r="R26" s="28">
        <v>0</v>
      </c>
      <c r="S26" s="28"/>
      <c r="T26" s="28">
        <v>5.0323400000000005</v>
      </c>
      <c r="U26" s="28"/>
      <c r="V26" s="28">
        <v>0</v>
      </c>
      <c r="W26" s="28"/>
      <c r="X26" s="30">
        <v>906.8548199999999</v>
      </c>
      <c r="Y26" s="30"/>
      <c r="Z26" s="30">
        <v>170.05292</v>
      </c>
      <c r="AA26" s="30"/>
      <c r="AB26" s="30">
        <v>8270.2209</v>
      </c>
      <c r="AC26" s="30"/>
      <c r="AD26" s="30">
        <v>0</v>
      </c>
      <c r="AE26" s="30"/>
      <c r="AF26" s="30">
        <v>9352.16098</v>
      </c>
    </row>
    <row r="27" spans="3:32" ht="11.25">
      <c r="C27" s="27" t="s">
        <v>2</v>
      </c>
      <c r="D27" s="19"/>
      <c r="E27" s="19"/>
      <c r="F27" s="19"/>
      <c r="G27" s="88">
        <v>2255.80736</v>
      </c>
      <c r="H27" s="89"/>
      <c r="I27" s="148">
        <v>5187.96788</v>
      </c>
      <c r="J27" s="89"/>
      <c r="K27" s="173">
        <v>0</v>
      </c>
      <c r="L27" s="89"/>
      <c r="M27" s="88">
        <v>-7443.77524</v>
      </c>
      <c r="N27" s="89"/>
      <c r="O27" s="90">
        <v>0</v>
      </c>
      <c r="R27" s="18">
        <v>0</v>
      </c>
      <c r="T27" s="18">
        <v>0</v>
      </c>
      <c r="V27" s="18">
        <v>0</v>
      </c>
      <c r="X27" s="47">
        <v>2255.80736</v>
      </c>
      <c r="Y27" s="57"/>
      <c r="Z27" s="47">
        <v>0</v>
      </c>
      <c r="AA27" s="57"/>
      <c r="AB27" s="47">
        <v>5187.96788</v>
      </c>
      <c r="AC27" s="57"/>
      <c r="AD27" s="47">
        <v>-7443.77524</v>
      </c>
      <c r="AE27" s="57"/>
      <c r="AF27" s="47">
        <v>0</v>
      </c>
    </row>
    <row r="28" spans="3:32" ht="11.25">
      <c r="C28" s="27" t="s">
        <v>57</v>
      </c>
      <c r="D28" s="19"/>
      <c r="E28" s="19"/>
      <c r="F28" s="19"/>
      <c r="G28" s="88">
        <v>13891.32427430137</v>
      </c>
      <c r="H28" s="89"/>
      <c r="I28" s="148">
        <v>2.3821399302532664</v>
      </c>
      <c r="J28" s="89"/>
      <c r="K28" s="173">
        <v>0</v>
      </c>
      <c r="L28" s="89"/>
      <c r="M28" s="88">
        <v>0</v>
      </c>
      <c r="N28" s="89"/>
      <c r="O28" s="90">
        <v>13893.706414231623</v>
      </c>
      <c r="R28" s="18">
        <v>0</v>
      </c>
      <c r="T28" s="18">
        <v>0</v>
      </c>
      <c r="V28" s="18">
        <v>0</v>
      </c>
      <c r="X28" s="47">
        <v>78726.21472</v>
      </c>
      <c r="Y28" s="57"/>
      <c r="Z28" s="47">
        <v>0</v>
      </c>
      <c r="AA28" s="57"/>
      <c r="AB28" s="47">
        <v>3207.48438</v>
      </c>
      <c r="AC28" s="57"/>
      <c r="AD28" s="47">
        <v>0</v>
      </c>
      <c r="AE28" s="57"/>
      <c r="AF28" s="47">
        <v>81933.6991</v>
      </c>
    </row>
    <row r="29" spans="3:32" ht="11.25">
      <c r="C29" s="27" t="s">
        <v>3</v>
      </c>
      <c r="D29" s="19"/>
      <c r="E29" s="19"/>
      <c r="F29" s="19"/>
      <c r="G29" s="88">
        <v>692.0846700000001</v>
      </c>
      <c r="H29" s="89"/>
      <c r="I29" s="148">
        <v>5474.75291</v>
      </c>
      <c r="J29" s="89"/>
      <c r="K29" s="173">
        <v>0</v>
      </c>
      <c r="L29" s="89"/>
      <c r="M29" s="88">
        <v>0</v>
      </c>
      <c r="N29" s="89"/>
      <c r="O29" s="90">
        <v>6166.83758</v>
      </c>
      <c r="R29" s="18">
        <v>0</v>
      </c>
      <c r="T29" s="18">
        <v>0</v>
      </c>
      <c r="V29" s="18">
        <v>0</v>
      </c>
      <c r="X29" s="47">
        <v>692.0846700000001</v>
      </c>
      <c r="Y29" s="57"/>
      <c r="Z29" s="47">
        <v>97.909</v>
      </c>
      <c r="AA29" s="57"/>
      <c r="AB29" s="47">
        <v>5376.8439100000005</v>
      </c>
      <c r="AC29" s="57"/>
      <c r="AD29" s="47">
        <v>0</v>
      </c>
      <c r="AE29" s="57"/>
      <c r="AF29" s="47">
        <v>6166.83758</v>
      </c>
    </row>
    <row r="30" spans="3:32" ht="11.25">
      <c r="C30" s="27" t="s">
        <v>58</v>
      </c>
      <c r="D30" s="19"/>
      <c r="E30" s="19"/>
      <c r="F30" s="19"/>
      <c r="G30" s="88">
        <v>6247.379980000001</v>
      </c>
      <c r="H30" s="89"/>
      <c r="I30" s="148">
        <v>4152.90534</v>
      </c>
      <c r="J30" s="89"/>
      <c r="K30" s="173">
        <v>0</v>
      </c>
      <c r="L30" s="89"/>
      <c r="M30" s="88">
        <v>0</v>
      </c>
      <c r="N30" s="89"/>
      <c r="O30" s="90">
        <v>10400.28532</v>
      </c>
      <c r="R30" s="18">
        <v>0</v>
      </c>
      <c r="T30" s="18">
        <v>5.00663</v>
      </c>
      <c r="V30" s="18">
        <v>0</v>
      </c>
      <c r="X30" s="47">
        <v>6247.379980000001</v>
      </c>
      <c r="Y30" s="57"/>
      <c r="Z30" s="47">
        <v>0</v>
      </c>
      <c r="AA30" s="57"/>
      <c r="AB30" s="47">
        <v>4152.90534</v>
      </c>
      <c r="AC30" s="57"/>
      <c r="AD30" s="47">
        <v>0</v>
      </c>
      <c r="AE30" s="57"/>
      <c r="AF30" s="47">
        <v>10405.29195</v>
      </c>
    </row>
    <row r="31" spans="3:32" ht="11.25">
      <c r="C31" s="27" t="s">
        <v>95</v>
      </c>
      <c r="D31" s="19"/>
      <c r="E31" s="19"/>
      <c r="F31" s="19"/>
      <c r="G31" s="88">
        <v>0</v>
      </c>
      <c r="H31" s="89"/>
      <c r="I31" s="150">
        <v>0</v>
      </c>
      <c r="J31" s="89"/>
      <c r="K31" s="173">
        <v>0</v>
      </c>
      <c r="L31" s="89"/>
      <c r="M31" s="88">
        <v>0</v>
      </c>
      <c r="N31" s="89"/>
      <c r="O31" s="90">
        <v>0</v>
      </c>
      <c r="R31" s="18">
        <v>0</v>
      </c>
      <c r="T31" s="18">
        <v>0</v>
      </c>
      <c r="V31" s="18">
        <v>0</v>
      </c>
      <c r="X31" s="47">
        <v>36214.344189999996</v>
      </c>
      <c r="Y31" s="57"/>
      <c r="Z31" s="47">
        <v>0</v>
      </c>
      <c r="AA31" s="57"/>
      <c r="AB31" s="47">
        <v>74228.57255</v>
      </c>
      <c r="AC31" s="57"/>
      <c r="AD31" s="47">
        <v>0</v>
      </c>
      <c r="AE31" s="57"/>
      <c r="AF31" s="47">
        <v>110442.91673999999</v>
      </c>
    </row>
    <row r="32" spans="3:32" ht="11.25">
      <c r="C32" s="27" t="s">
        <v>80</v>
      </c>
      <c r="D32" s="19"/>
      <c r="E32" s="19"/>
      <c r="F32" s="19"/>
      <c r="G32" s="88">
        <v>16666.666</v>
      </c>
      <c r="H32" s="89"/>
      <c r="I32" s="148">
        <v>8000</v>
      </c>
      <c r="J32" s="89"/>
      <c r="K32" s="173">
        <v>4000</v>
      </c>
      <c r="L32" s="89"/>
      <c r="M32" s="88">
        <v>0</v>
      </c>
      <c r="N32" s="89"/>
      <c r="O32" s="90">
        <v>28666.666</v>
      </c>
      <c r="R32" s="18">
        <v>0</v>
      </c>
      <c r="T32" s="18">
        <v>0</v>
      </c>
      <c r="V32" s="18">
        <v>0</v>
      </c>
      <c r="X32" s="47">
        <v>31190.42259</v>
      </c>
      <c r="Y32" s="57"/>
      <c r="Z32" s="47">
        <v>18.23461</v>
      </c>
      <c r="AA32" s="57"/>
      <c r="AB32" s="47">
        <v>0</v>
      </c>
      <c r="AC32" s="57"/>
      <c r="AD32" s="47">
        <v>0</v>
      </c>
      <c r="AE32" s="57"/>
      <c r="AF32" s="47">
        <v>31208.657199999998</v>
      </c>
    </row>
    <row r="33" spans="4:32" ht="12">
      <c r="D33" s="22" t="s">
        <v>61</v>
      </c>
      <c r="E33"/>
      <c r="F33"/>
      <c r="G33" s="91">
        <f>SUM(G26:G32)</f>
        <v>40660.117104301375</v>
      </c>
      <c r="H33" s="91">
        <f aca="true" t="shared" si="2" ref="H33:O33">SUM(H26:H32)</f>
        <v>0</v>
      </c>
      <c r="I33" s="91">
        <f t="shared" si="2"/>
        <v>31258.282089930253</v>
      </c>
      <c r="J33" s="91">
        <f t="shared" si="2"/>
        <v>0</v>
      </c>
      <c r="K33" s="91">
        <f t="shared" si="2"/>
        <v>4000</v>
      </c>
      <c r="L33" s="91">
        <f t="shared" si="2"/>
        <v>0</v>
      </c>
      <c r="M33" s="91">
        <f t="shared" si="2"/>
        <v>-7443.77524</v>
      </c>
      <c r="N33" s="91">
        <f t="shared" si="2"/>
        <v>0</v>
      </c>
      <c r="O33" s="91">
        <f t="shared" si="2"/>
        <v>68474.62395423163</v>
      </c>
      <c r="R33" s="31">
        <v>0</v>
      </c>
      <c r="T33" s="50">
        <v>10.03897</v>
      </c>
      <c r="U33" s="42"/>
      <c r="V33" s="50">
        <v>0</v>
      </c>
      <c r="W33" s="42"/>
      <c r="X33" s="56">
        <v>156233.10833</v>
      </c>
      <c r="Y33" s="61"/>
      <c r="Z33" s="56">
        <v>286.19653</v>
      </c>
      <c r="AA33" s="54"/>
      <c r="AB33" s="56">
        <v>105536.70296</v>
      </c>
      <c r="AC33" s="61"/>
      <c r="AD33" s="56">
        <v>-7443.77524</v>
      </c>
      <c r="AE33" s="61"/>
      <c r="AF33" s="56">
        <v>254622.27154999998</v>
      </c>
    </row>
    <row r="34" spans="7:32" ht="11.25">
      <c r="G34" s="88"/>
      <c r="H34" s="89"/>
      <c r="I34" s="150"/>
      <c r="J34" s="89"/>
      <c r="K34" s="173"/>
      <c r="L34" s="89"/>
      <c r="M34" s="88"/>
      <c r="N34" s="89"/>
      <c r="O34" s="88"/>
      <c r="R34" s="18"/>
      <c r="T34" s="18"/>
      <c r="U34" s="23"/>
      <c r="V34" s="18"/>
      <c r="W34" s="23"/>
      <c r="X34" s="47"/>
      <c r="Y34" s="57"/>
      <c r="Z34" s="47"/>
      <c r="AA34" s="48"/>
      <c r="AB34" s="47"/>
      <c r="AC34" s="57"/>
      <c r="AD34" s="47"/>
      <c r="AE34" s="57"/>
      <c r="AF34" s="47"/>
    </row>
    <row r="35" spans="2:32" ht="11.25">
      <c r="B35" s="15" t="s">
        <v>4</v>
      </c>
      <c r="G35" s="88">
        <v>416666.66999999987</v>
      </c>
      <c r="H35" s="89"/>
      <c r="I35" s="148">
        <v>64000</v>
      </c>
      <c r="J35" s="89"/>
      <c r="K35" s="173">
        <v>48000</v>
      </c>
      <c r="L35" s="89"/>
      <c r="M35" s="88">
        <v>0</v>
      </c>
      <c r="N35" s="89"/>
      <c r="O35" s="90">
        <v>528666.6699999999</v>
      </c>
      <c r="R35" s="18">
        <v>0</v>
      </c>
      <c r="T35" s="18">
        <v>0</v>
      </c>
      <c r="V35" s="18">
        <v>0</v>
      </c>
      <c r="X35" s="47">
        <v>669715.9879099999</v>
      </c>
      <c r="Y35" s="57"/>
      <c r="Z35" s="47">
        <v>18.36277</v>
      </c>
      <c r="AA35" s="57"/>
      <c r="AB35" s="47">
        <v>84698.83005</v>
      </c>
      <c r="AC35" s="57"/>
      <c r="AD35" s="47">
        <v>0</v>
      </c>
      <c r="AE35" s="57"/>
      <c r="AF35" s="47">
        <v>754433.1807299999</v>
      </c>
    </row>
    <row r="36" spans="2:32" ht="11.25">
      <c r="B36" s="15" t="s">
        <v>5</v>
      </c>
      <c r="G36" s="88">
        <v>133.461</v>
      </c>
      <c r="H36" s="89"/>
      <c r="I36" s="148">
        <v>103</v>
      </c>
      <c r="J36" s="89"/>
      <c r="K36" s="173">
        <v>0</v>
      </c>
      <c r="L36" s="89"/>
      <c r="M36" s="88">
        <v>0</v>
      </c>
      <c r="N36" s="89"/>
      <c r="O36" s="90">
        <v>236.461</v>
      </c>
      <c r="R36" s="18">
        <v>0</v>
      </c>
      <c r="T36" s="18">
        <v>0</v>
      </c>
      <c r="V36" s="18">
        <v>19977.21523</v>
      </c>
      <c r="X36" s="47">
        <v>133.461</v>
      </c>
      <c r="Y36" s="57"/>
      <c r="Z36" s="47">
        <v>480.653</v>
      </c>
      <c r="AA36" s="57"/>
      <c r="AB36" s="47">
        <v>17756.59144</v>
      </c>
      <c r="AC36" s="57"/>
      <c r="AD36" s="47">
        <v>0</v>
      </c>
      <c r="AE36" s="57"/>
      <c r="AF36" s="47">
        <v>38347.92067</v>
      </c>
    </row>
    <row r="37" spans="2:32" ht="11.25">
      <c r="B37" s="15" t="s">
        <v>6</v>
      </c>
      <c r="G37" s="88">
        <v>0</v>
      </c>
      <c r="H37" s="89"/>
      <c r="I37" s="148">
        <v>2987.28766</v>
      </c>
      <c r="J37" s="89"/>
      <c r="K37" s="173">
        <v>0</v>
      </c>
      <c r="L37" s="89"/>
      <c r="M37" s="88">
        <v>0</v>
      </c>
      <c r="N37" s="89"/>
      <c r="O37" s="90">
        <v>2987.28766</v>
      </c>
      <c r="R37" s="18">
        <v>0</v>
      </c>
      <c r="T37" s="18">
        <v>0</v>
      </c>
      <c r="V37" s="18">
        <v>0</v>
      </c>
      <c r="X37" s="47">
        <v>0</v>
      </c>
      <c r="Y37" s="57"/>
      <c r="Z37" s="47">
        <v>625.9839999999999</v>
      </c>
      <c r="AA37" s="57"/>
      <c r="AB37" s="47">
        <v>2361.30366</v>
      </c>
      <c r="AC37" s="57"/>
      <c r="AD37" s="47">
        <v>0</v>
      </c>
      <c r="AE37" s="57"/>
      <c r="AF37" s="47">
        <v>2987.28766</v>
      </c>
    </row>
    <row r="38" spans="5:32" ht="11.25">
      <c r="E38" s="22" t="s">
        <v>49</v>
      </c>
      <c r="F38" s="22"/>
      <c r="G38" s="96">
        <f>SUM(G33:G37)</f>
        <v>457460.2481043013</v>
      </c>
      <c r="H38" s="96">
        <f aca="true" t="shared" si="3" ref="H38:O38">SUM(H33:H37)</f>
        <v>0</v>
      </c>
      <c r="I38" s="96">
        <f t="shared" si="3"/>
        <v>98348.56974993026</v>
      </c>
      <c r="J38" s="96">
        <f t="shared" si="3"/>
        <v>0</v>
      </c>
      <c r="K38" s="96">
        <f t="shared" si="3"/>
        <v>52000</v>
      </c>
      <c r="L38" s="96">
        <f t="shared" si="3"/>
        <v>0</v>
      </c>
      <c r="M38" s="96">
        <f t="shared" si="3"/>
        <v>-7443.77524</v>
      </c>
      <c r="N38" s="96">
        <f t="shared" si="3"/>
        <v>0</v>
      </c>
      <c r="O38" s="96">
        <f t="shared" si="3"/>
        <v>600365.0426142316</v>
      </c>
      <c r="R38" s="31">
        <v>0</v>
      </c>
      <c r="T38" s="50">
        <v>10.03897</v>
      </c>
      <c r="U38" s="42"/>
      <c r="V38" s="50">
        <v>19977.21523</v>
      </c>
      <c r="W38" s="42"/>
      <c r="X38" s="50">
        <v>826082.5572399999</v>
      </c>
      <c r="Y38" s="5"/>
      <c r="Z38" s="50">
        <v>1411.1963</v>
      </c>
      <c r="AA38" s="42"/>
      <c r="AB38" s="50">
        <v>210353.42811</v>
      </c>
      <c r="AC38" s="5"/>
      <c r="AD38" s="50">
        <v>-7443.77524</v>
      </c>
      <c r="AE38" s="5"/>
      <c r="AF38" s="50">
        <v>1050390.66061</v>
      </c>
    </row>
    <row r="39" spans="3:32" ht="11.25">
      <c r="C39" s="32"/>
      <c r="D39" s="32"/>
      <c r="E39" s="32"/>
      <c r="F39" s="32"/>
      <c r="G39" s="97"/>
      <c r="H39" s="98"/>
      <c r="I39" s="151"/>
      <c r="J39" s="98"/>
      <c r="K39" s="90"/>
      <c r="L39" s="98"/>
      <c r="M39" s="97"/>
      <c r="N39" s="98"/>
      <c r="O39" s="97"/>
      <c r="R39" s="23"/>
      <c r="T39" s="23"/>
      <c r="U39" s="23"/>
      <c r="V39" s="23"/>
      <c r="W39" s="23"/>
      <c r="X39" s="23"/>
      <c r="Z39" s="23"/>
      <c r="AA39" s="23"/>
      <c r="AB39" s="23"/>
      <c r="AD39" s="23"/>
      <c r="AF39" s="23"/>
    </row>
    <row r="40" spans="2:32" ht="11.25">
      <c r="B40" s="21" t="s">
        <v>62</v>
      </c>
      <c r="D40" s="21"/>
      <c r="E40" s="21"/>
      <c r="F40" s="21"/>
      <c r="G40" s="99"/>
      <c r="H40" s="98"/>
      <c r="I40" s="148"/>
      <c r="J40" s="98"/>
      <c r="K40" s="90"/>
      <c r="L40" s="98"/>
      <c r="M40" s="99"/>
      <c r="N40" s="98"/>
      <c r="O40" s="99"/>
      <c r="R40" s="18"/>
      <c r="T40" s="18"/>
      <c r="U40" s="23"/>
      <c r="V40" s="18"/>
      <c r="W40" s="23"/>
      <c r="X40" s="18"/>
      <c r="Z40" s="18"/>
      <c r="AA40" s="23"/>
      <c r="AB40" s="18"/>
      <c r="AD40" s="18"/>
      <c r="AF40" s="18"/>
    </row>
    <row r="41" spans="3:32" ht="11.25">
      <c r="C41" s="15" t="s">
        <v>7</v>
      </c>
      <c r="G41" s="99">
        <v>0</v>
      </c>
      <c r="H41" s="98"/>
      <c r="I41" s="148">
        <v>7.501</v>
      </c>
      <c r="J41" s="98"/>
      <c r="K41" s="90">
        <v>0</v>
      </c>
      <c r="L41" s="98"/>
      <c r="M41" s="99">
        <v>-8.5</v>
      </c>
      <c r="N41" s="98"/>
      <c r="O41" s="90">
        <v>-0.9989999999999997</v>
      </c>
      <c r="R41" s="18">
        <v>0</v>
      </c>
      <c r="T41" s="18">
        <v>1</v>
      </c>
      <c r="V41" s="18">
        <v>0</v>
      </c>
      <c r="X41" s="18">
        <v>0</v>
      </c>
      <c r="Z41" s="18">
        <v>7.5</v>
      </c>
      <c r="AB41" s="18">
        <v>0.001</v>
      </c>
      <c r="AD41" s="18">
        <v>-8.5</v>
      </c>
      <c r="AF41" s="18">
        <v>0.0009999999999994458</v>
      </c>
    </row>
    <row r="42" spans="3:32" ht="11.25">
      <c r="C42" s="15" t="s">
        <v>46</v>
      </c>
      <c r="G42" s="99">
        <v>179838.18584</v>
      </c>
      <c r="H42" s="98"/>
      <c r="I42" s="148">
        <v>222292.427</v>
      </c>
      <c r="J42" s="98"/>
      <c r="K42" s="90">
        <v>308000</v>
      </c>
      <c r="L42" s="98"/>
      <c r="M42" s="99">
        <v>-251285.86894</v>
      </c>
      <c r="N42" s="98"/>
      <c r="O42" s="90">
        <v>458844.7439</v>
      </c>
      <c r="R42" s="18">
        <v>0</v>
      </c>
      <c r="T42" s="18">
        <v>0</v>
      </c>
      <c r="V42" s="18">
        <v>62050.7721</v>
      </c>
      <c r="X42" s="18">
        <v>179838.18584</v>
      </c>
      <c r="Z42" s="18">
        <v>9096.911</v>
      </c>
      <c r="AB42" s="18">
        <v>213195.516</v>
      </c>
      <c r="AD42" s="18">
        <v>-251285.86894</v>
      </c>
      <c r="AF42" s="18">
        <v>212895.51600000003</v>
      </c>
    </row>
    <row r="43" spans="3:32" ht="11.25">
      <c r="C43" s="15" t="s">
        <v>8</v>
      </c>
      <c r="G43" s="146">
        <f>G23-G38-G41-G42</f>
        <v>-272069.79004430125</v>
      </c>
      <c r="H43" s="147"/>
      <c r="I43" s="146">
        <v>-197018.77541993023</v>
      </c>
      <c r="J43" s="98"/>
      <c r="K43" s="146">
        <v>0</v>
      </c>
      <c r="L43" s="98"/>
      <c r="M43" s="146">
        <v>251294.20255999998</v>
      </c>
      <c r="N43" s="98"/>
      <c r="O43" s="90">
        <v>-217794.36290423144</v>
      </c>
      <c r="R43" s="18">
        <v>0</v>
      </c>
      <c r="T43" s="18">
        <v>0</v>
      </c>
      <c r="V43" s="18">
        <v>0</v>
      </c>
      <c r="X43" s="18">
        <v>-24402.52587</v>
      </c>
      <c r="Z43" s="18">
        <v>51031.153840000006</v>
      </c>
      <c r="AB43" s="18">
        <v>-245047.29677000002</v>
      </c>
      <c r="AD43" s="18">
        <v>-26561.430780000006</v>
      </c>
      <c r="AF43" s="18">
        <v>-244980.09958</v>
      </c>
    </row>
    <row r="44" spans="3:32" ht="11.25">
      <c r="C44" s="15" t="s">
        <v>47</v>
      </c>
      <c r="G44" s="99">
        <v>0</v>
      </c>
      <c r="H44" s="98"/>
      <c r="I44" s="148">
        <v>0</v>
      </c>
      <c r="J44" s="98"/>
      <c r="K44" s="90">
        <v>0</v>
      </c>
      <c r="L44" s="98"/>
      <c r="M44" s="99">
        <v>0</v>
      </c>
      <c r="N44" s="98"/>
      <c r="O44" s="90">
        <v>0</v>
      </c>
      <c r="R44" s="18">
        <v>0</v>
      </c>
      <c r="T44" s="18">
        <v>-130.39446</v>
      </c>
      <c r="U44" s="23"/>
      <c r="V44" s="18">
        <v>78.54969</v>
      </c>
      <c r="W44" s="23"/>
      <c r="X44" s="18">
        <v>-60184.57012</v>
      </c>
      <c r="Z44" s="18">
        <v>-4882.347400000001</v>
      </c>
      <c r="AA44" s="23"/>
      <c r="AB44" s="18">
        <v>-139027.822</v>
      </c>
      <c r="AD44" s="18">
        <v>65161.49667</v>
      </c>
      <c r="AF44" s="18">
        <v>-138985.08761999998</v>
      </c>
    </row>
    <row r="45" spans="5:32" ht="11.25">
      <c r="E45" s="38" t="s">
        <v>48</v>
      </c>
      <c r="F45" s="38"/>
      <c r="G45" s="96">
        <f>SUM(G41:G44)</f>
        <v>-92231.60420430126</v>
      </c>
      <c r="H45" s="96">
        <f aca="true" t="shared" si="4" ref="H45:O45">SUM(H41:H44)</f>
        <v>0</v>
      </c>
      <c r="I45" s="96">
        <f t="shared" si="4"/>
        <v>25281.152580069756</v>
      </c>
      <c r="J45" s="96">
        <f t="shared" si="4"/>
        <v>0</v>
      </c>
      <c r="K45" s="96">
        <f t="shared" si="4"/>
        <v>308000</v>
      </c>
      <c r="L45" s="96">
        <f t="shared" si="4"/>
        <v>0</v>
      </c>
      <c r="M45" s="96">
        <f t="shared" si="4"/>
        <v>-0.16638000000966713</v>
      </c>
      <c r="N45" s="96">
        <f t="shared" si="4"/>
        <v>0</v>
      </c>
      <c r="O45" s="96">
        <f t="shared" si="4"/>
        <v>241049.38199576855</v>
      </c>
      <c r="R45" s="31">
        <v>0</v>
      </c>
      <c r="T45" s="50">
        <v>-127.88836</v>
      </c>
      <c r="U45" s="5"/>
      <c r="V45" s="50">
        <v>-17121.61625000002</v>
      </c>
      <c r="W45" s="5"/>
      <c r="X45" s="50">
        <v>-519697.22875999997</v>
      </c>
      <c r="Y45" s="5"/>
      <c r="Z45" s="50">
        <v>8677.217440000006</v>
      </c>
      <c r="AA45" s="5"/>
      <c r="AB45" s="50">
        <v>-125964.01041999995</v>
      </c>
      <c r="AC45" s="5"/>
      <c r="AD45" s="50">
        <v>0</v>
      </c>
      <c r="AE45" s="5"/>
      <c r="AF45" s="50">
        <v>-654233.5263500001</v>
      </c>
    </row>
    <row r="46" spans="3:32" ht="11.25">
      <c r="C46" s="32"/>
      <c r="D46" s="32"/>
      <c r="E46" s="32"/>
      <c r="F46" s="32"/>
      <c r="G46" s="97"/>
      <c r="H46" s="98"/>
      <c r="I46" s="151"/>
      <c r="J46" s="98"/>
      <c r="K46" s="151"/>
      <c r="L46" s="98"/>
      <c r="M46" s="97"/>
      <c r="N46" s="98"/>
      <c r="O46" s="97"/>
      <c r="R46" s="23"/>
      <c r="T46" s="23"/>
      <c r="V46" s="23"/>
      <c r="X46" s="23"/>
      <c r="Z46" s="23"/>
      <c r="AB46" s="23"/>
      <c r="AD46" s="23"/>
      <c r="AF46" s="23"/>
    </row>
    <row r="47" spans="3:33" ht="12" thickBot="1">
      <c r="C47" s="22" t="s">
        <v>45</v>
      </c>
      <c r="D47" s="33"/>
      <c r="E47" s="33"/>
      <c r="F47" s="33"/>
      <c r="G47" s="100">
        <f>G38+G45</f>
        <v>365228.6439</v>
      </c>
      <c r="H47" s="100">
        <f aca="true" t="shared" si="5" ref="H47:O47">H38+H45</f>
        <v>0</v>
      </c>
      <c r="I47" s="100">
        <f t="shared" si="5"/>
        <v>123629.72233000002</v>
      </c>
      <c r="J47" s="100">
        <f t="shared" si="5"/>
        <v>0</v>
      </c>
      <c r="K47" s="100">
        <f t="shared" si="5"/>
        <v>360000</v>
      </c>
      <c r="L47" s="100">
        <f t="shared" si="5"/>
        <v>0</v>
      </c>
      <c r="M47" s="100">
        <f t="shared" si="5"/>
        <v>-7443.94162000001</v>
      </c>
      <c r="N47" s="100">
        <f t="shared" si="5"/>
        <v>0</v>
      </c>
      <c r="O47" s="100">
        <f t="shared" si="5"/>
        <v>841414.4246100001</v>
      </c>
      <c r="P47" s="24"/>
      <c r="Q47" s="24"/>
      <c r="R47" s="35">
        <v>0</v>
      </c>
      <c r="S47" s="34"/>
      <c r="T47" s="52">
        <v>-117.84939</v>
      </c>
      <c r="U47" s="53"/>
      <c r="V47" s="52">
        <v>2855.5989799999807</v>
      </c>
      <c r="W47" s="53"/>
      <c r="X47" s="52">
        <v>306385.3284799999</v>
      </c>
      <c r="Y47" s="53"/>
      <c r="Z47" s="52">
        <v>10088.413740000005</v>
      </c>
      <c r="AA47" s="53"/>
      <c r="AB47" s="52">
        <v>84389.41769000006</v>
      </c>
      <c r="AC47" s="53"/>
      <c r="AD47" s="52">
        <v>-7443.77524</v>
      </c>
      <c r="AE47" s="53"/>
      <c r="AF47" s="52">
        <v>396157.13425999985</v>
      </c>
      <c r="AG47" s="24"/>
    </row>
    <row r="48" spans="4:33" ht="12" thickTop="1">
      <c r="D48" s="32"/>
      <c r="E48" s="32"/>
      <c r="F48" s="32"/>
      <c r="G48" s="97"/>
      <c r="H48" s="101"/>
      <c r="I48" s="151"/>
      <c r="J48" s="101"/>
      <c r="K48" s="151"/>
      <c r="L48" s="101"/>
      <c r="M48" s="97"/>
      <c r="N48" s="101"/>
      <c r="O48" s="97"/>
      <c r="P48" s="24"/>
      <c r="Q48" s="24"/>
      <c r="R48" s="23"/>
      <c r="S48" s="24"/>
      <c r="T48" s="23"/>
      <c r="U48" s="24"/>
      <c r="V48" s="23"/>
      <c r="W48" s="24"/>
      <c r="X48" s="23"/>
      <c r="Y48" s="24"/>
      <c r="Z48" s="23"/>
      <c r="AA48" s="24"/>
      <c r="AB48" s="23"/>
      <c r="AC48" s="24"/>
      <c r="AD48" s="23"/>
      <c r="AE48" s="24"/>
      <c r="AF48" s="23"/>
      <c r="AG48" s="24"/>
    </row>
    <row r="49" spans="3:19" ht="11.25">
      <c r="C49" s="36"/>
      <c r="D49" s="36"/>
      <c r="E49" s="36"/>
      <c r="F49" s="36"/>
      <c r="G49" s="25"/>
      <c r="H49" s="24"/>
      <c r="I49" s="83"/>
      <c r="J49" s="24"/>
      <c r="K49" s="82"/>
      <c r="L49" s="24"/>
      <c r="M49" s="25"/>
      <c r="N49" s="24"/>
      <c r="O49" s="25"/>
      <c r="P49" s="24"/>
      <c r="Q49" s="24"/>
      <c r="R49" s="24"/>
      <c r="S49" s="24"/>
    </row>
    <row r="50" spans="7:19" ht="11.25">
      <c r="G50" s="205"/>
      <c r="H50" s="205"/>
      <c r="I50" s="205"/>
      <c r="J50" s="205"/>
      <c r="K50" s="205"/>
      <c r="L50" s="205"/>
      <c r="M50" s="205"/>
      <c r="N50" s="205"/>
      <c r="O50" s="205"/>
      <c r="P50" s="24"/>
      <c r="Q50" s="24"/>
      <c r="R50" s="24"/>
      <c r="S50" s="24"/>
    </row>
    <row r="51" spans="7:19" ht="11.25">
      <c r="G51" s="23"/>
      <c r="H51" s="24"/>
      <c r="I51" s="23"/>
      <c r="J51" s="24"/>
      <c r="K51" s="82"/>
      <c r="L51" s="24"/>
      <c r="M51" s="23"/>
      <c r="N51" s="24"/>
      <c r="O51" s="23"/>
      <c r="P51" s="24"/>
      <c r="Q51" s="24"/>
      <c r="R51" s="24"/>
      <c r="S51" s="24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Q51"/>
  <sheetViews>
    <sheetView zoomScalePageLayoutView="0" workbookViewId="0" topLeftCell="A1">
      <pane xSplit="5" ySplit="9" topLeftCell="F23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A5" sqref="A5:P5"/>
    </sheetView>
  </sheetViews>
  <sheetFormatPr defaultColWidth="9.140625" defaultRowHeight="12.75"/>
  <cols>
    <col min="1" max="1" width="1.57421875" style="15" customWidth="1"/>
    <col min="2" max="2" width="2.57421875" style="15" customWidth="1"/>
    <col min="3" max="3" width="2.8515625" style="15" customWidth="1"/>
    <col min="4" max="4" width="5.57421875" style="15" customWidth="1"/>
    <col min="5" max="5" width="22.421875" style="15" bestFit="1" customWidth="1"/>
    <col min="6" max="6" width="1.421875" style="15" customWidth="1"/>
    <col min="7" max="7" width="12.57421875" style="15" bestFit="1" customWidth="1"/>
    <col min="8" max="8" width="0.85546875" style="15" customWidth="1"/>
    <col min="9" max="9" width="11.8515625" style="15" bestFit="1" customWidth="1"/>
    <col min="10" max="10" width="0.85546875" style="15" customWidth="1"/>
    <col min="11" max="11" width="11.140625" style="69" customWidth="1"/>
    <col min="12" max="12" width="0.85546875" style="15" customWidth="1"/>
    <col min="13" max="13" width="11.57421875" style="15" bestFit="1" customWidth="1"/>
    <col min="14" max="14" width="0.85546875" style="15" customWidth="1"/>
    <col min="15" max="15" width="12.57421875" style="15" bestFit="1" customWidth="1"/>
    <col min="16" max="16" width="1.57421875" style="15" customWidth="1"/>
    <col min="17" max="16384" width="9.140625" style="15" customWidth="1"/>
  </cols>
  <sheetData>
    <row r="1" spans="1:16" ht="11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1.25">
      <c r="A2" s="216" t="s">
        <v>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1.25">
      <c r="A3" s="216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1.25">
      <c r="A4" s="216">
        <v>2016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1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7" spans="7:9" ht="11.25" hidden="1">
      <c r="G7" s="16"/>
      <c r="I7" s="16"/>
    </row>
    <row r="8" spans="7:15" ht="11.25">
      <c r="G8" s="16"/>
      <c r="I8" s="16"/>
      <c r="K8" s="169"/>
      <c r="M8" s="16" t="s">
        <v>37</v>
      </c>
      <c r="O8" s="16"/>
    </row>
    <row r="9" spans="3:15" ht="11.25">
      <c r="C9" s="17"/>
      <c r="D9" s="17"/>
      <c r="E9" s="17"/>
      <c r="F9" s="17"/>
      <c r="G9" s="4" t="s">
        <v>104</v>
      </c>
      <c r="H9" s="2"/>
      <c r="I9" s="4" t="s">
        <v>105</v>
      </c>
      <c r="J9" s="2"/>
      <c r="K9" s="189" t="s">
        <v>106</v>
      </c>
      <c r="M9" s="26" t="s">
        <v>38</v>
      </c>
      <c r="N9" s="24"/>
      <c r="O9" s="26" t="s">
        <v>39</v>
      </c>
    </row>
    <row r="10" spans="3:15" ht="11.25">
      <c r="C10" s="17"/>
      <c r="D10" s="17"/>
      <c r="E10" s="17"/>
      <c r="F10" s="17"/>
      <c r="G10" s="18"/>
      <c r="M10" s="18"/>
      <c r="O10" s="18"/>
    </row>
    <row r="11" spans="2:15" ht="11.25">
      <c r="B11" s="21" t="s">
        <v>52</v>
      </c>
      <c r="G11" s="18"/>
      <c r="M11" s="18"/>
      <c r="O11" s="18"/>
    </row>
    <row r="12" spans="3:15" ht="11.25">
      <c r="C12" s="27" t="s">
        <v>0</v>
      </c>
      <c r="D12" s="27"/>
      <c r="E12" s="27"/>
      <c r="F12" s="27"/>
      <c r="G12" s="28">
        <f>'CF 2016'!G41</f>
        <v>-13737.90308619177</v>
      </c>
      <c r="H12" s="28">
        <f>'CF 2016'!H41</f>
        <v>0</v>
      </c>
      <c r="I12" s="28">
        <f>'CF 2016'!I41</f>
        <v>-4208.522631114377</v>
      </c>
      <c r="J12" s="28">
        <f>'CF 2016'!J41</f>
        <v>0</v>
      </c>
      <c r="K12" s="28">
        <f>'CF 2016'!K41</f>
        <v>4802.708333333334</v>
      </c>
      <c r="L12" s="28">
        <f>'CF 2016'!L41</f>
        <v>0</v>
      </c>
      <c r="M12" s="28">
        <f>'CF 2016'!M41</f>
        <v>0</v>
      </c>
      <c r="N12" s="28">
        <f>'CF 2016'!N41</f>
        <v>0</v>
      </c>
      <c r="O12" s="28">
        <f>'CF 2016'!O41</f>
        <v>-13143.71738397282</v>
      </c>
    </row>
    <row r="13" spans="3:15" ht="11.25">
      <c r="C13" s="27" t="s">
        <v>26</v>
      </c>
      <c r="D13" s="27"/>
      <c r="E13" s="27"/>
      <c r="F13" s="27"/>
      <c r="G13" s="47">
        <v>335.20953000000003</v>
      </c>
      <c r="H13" s="57"/>
      <c r="I13" s="69">
        <v>5550.36656</v>
      </c>
      <c r="J13" s="57"/>
      <c r="K13" s="153">
        <v>0</v>
      </c>
      <c r="L13" s="57"/>
      <c r="M13" s="47">
        <v>0</v>
      </c>
      <c r="N13" s="57"/>
      <c r="O13" s="69">
        <v>5885.5760900000005</v>
      </c>
    </row>
    <row r="14" spans="3:15" ht="11.25">
      <c r="C14" s="27" t="s">
        <v>1</v>
      </c>
      <c r="D14" s="27"/>
      <c r="E14" s="27"/>
      <c r="F14" s="27"/>
      <c r="G14" s="120">
        <v>4027.3972602739723</v>
      </c>
      <c r="H14" s="121"/>
      <c r="I14" s="69">
        <v>6284.5876216438355</v>
      </c>
      <c r="J14" s="121"/>
      <c r="K14" s="176">
        <v>0</v>
      </c>
      <c r="L14" s="121"/>
      <c r="M14" s="120">
        <v>-10311.984881917808</v>
      </c>
      <c r="N14" s="57"/>
      <c r="O14" s="69">
        <v>0</v>
      </c>
    </row>
    <row r="15" spans="3:17" ht="11.25">
      <c r="C15" s="27" t="s">
        <v>27</v>
      </c>
      <c r="D15" s="27"/>
      <c r="E15" s="27"/>
      <c r="F15" s="27"/>
      <c r="G15" s="47">
        <v>1546.14192</v>
      </c>
      <c r="H15" s="57"/>
      <c r="I15" s="69">
        <v>21739.10268</v>
      </c>
      <c r="J15" s="57"/>
      <c r="K15" s="153">
        <v>0</v>
      </c>
      <c r="L15" s="57"/>
      <c r="M15" s="47">
        <v>0</v>
      </c>
      <c r="N15" s="57"/>
      <c r="O15" s="69">
        <v>23285.244599999998</v>
      </c>
      <c r="Q15" s="28"/>
    </row>
    <row r="16" spans="3:15" ht="11.25">
      <c r="C16" s="27" t="s">
        <v>28</v>
      </c>
      <c r="D16" s="27"/>
      <c r="E16" s="27"/>
      <c r="F16" s="27"/>
      <c r="G16" s="47">
        <v>7389.43784</v>
      </c>
      <c r="H16" s="57"/>
      <c r="I16" s="69">
        <v>16651.099789999997</v>
      </c>
      <c r="J16" s="57"/>
      <c r="K16" s="153">
        <v>0</v>
      </c>
      <c r="L16" s="57"/>
      <c r="M16" s="47">
        <v>0</v>
      </c>
      <c r="N16" s="57"/>
      <c r="O16" s="69">
        <v>24040.537629999995</v>
      </c>
    </row>
    <row r="17" spans="4:15" ht="11.25">
      <c r="D17" s="22" t="s">
        <v>50</v>
      </c>
      <c r="E17" s="22"/>
      <c r="F17" s="22"/>
      <c r="G17" s="58">
        <f>SUM(G12:G16)</f>
        <v>-439.71653591779886</v>
      </c>
      <c r="H17" s="58">
        <f aca="true" t="shared" si="0" ref="H17:O17">SUM(H12:H16)</f>
        <v>0</v>
      </c>
      <c r="I17" s="58">
        <f t="shared" si="0"/>
        <v>46016.634020529455</v>
      </c>
      <c r="J17" s="58">
        <f t="shared" si="0"/>
        <v>0</v>
      </c>
      <c r="K17" s="58">
        <f t="shared" si="0"/>
        <v>4802.708333333334</v>
      </c>
      <c r="L17" s="58">
        <f t="shared" si="0"/>
        <v>0</v>
      </c>
      <c r="M17" s="58">
        <f t="shared" si="0"/>
        <v>-10311.984881917808</v>
      </c>
      <c r="N17" s="58">
        <f t="shared" si="0"/>
        <v>0</v>
      </c>
      <c r="O17" s="58">
        <f t="shared" si="0"/>
        <v>40067.64093602717</v>
      </c>
    </row>
    <row r="18" spans="7:15" ht="11.25">
      <c r="G18" s="48"/>
      <c r="H18" s="57"/>
      <c r="I18" s="48"/>
      <c r="J18" s="57"/>
      <c r="K18" s="153"/>
      <c r="L18" s="57"/>
      <c r="M18" s="48"/>
      <c r="N18" s="57"/>
      <c r="O18" s="48"/>
    </row>
    <row r="19" spans="2:15" ht="11.25">
      <c r="B19" s="29" t="s">
        <v>54</v>
      </c>
      <c r="G19" s="47">
        <v>28658.050000000003</v>
      </c>
      <c r="H19" s="57"/>
      <c r="I19" s="69">
        <v>61889.35</v>
      </c>
      <c r="J19" s="57"/>
      <c r="K19" s="153">
        <v>0</v>
      </c>
      <c r="L19" s="57"/>
      <c r="M19" s="47">
        <v>0</v>
      </c>
      <c r="N19" s="57"/>
      <c r="O19" s="69">
        <v>90547.4</v>
      </c>
    </row>
    <row r="20" spans="2:15" ht="11.25">
      <c r="B20" s="29" t="s">
        <v>55</v>
      </c>
      <c r="G20" s="47">
        <v>202237.08</v>
      </c>
      <c r="H20" s="57"/>
      <c r="I20" s="69">
        <v>3143.9799999999996</v>
      </c>
      <c r="J20" s="57"/>
      <c r="K20" s="153">
        <v>0</v>
      </c>
      <c r="L20" s="57"/>
      <c r="M20" s="47">
        <v>0</v>
      </c>
      <c r="N20" s="57"/>
      <c r="O20" s="69">
        <v>205381.06</v>
      </c>
    </row>
    <row r="21" spans="2:15" ht="11.25">
      <c r="B21" s="15" t="s">
        <v>43</v>
      </c>
      <c r="G21" s="47">
        <v>9215.69715</v>
      </c>
      <c r="H21" s="57"/>
      <c r="I21" s="69">
        <v>5554.18838</v>
      </c>
      <c r="J21" s="57"/>
      <c r="K21" s="153">
        <v>0</v>
      </c>
      <c r="L21" s="57"/>
      <c r="M21" s="47">
        <v>0</v>
      </c>
      <c r="N21" s="57"/>
      <c r="O21" s="69">
        <v>14769.88553</v>
      </c>
    </row>
    <row r="22" spans="2:15" ht="11.25">
      <c r="B22" s="15" t="s">
        <v>56</v>
      </c>
      <c r="G22" s="47">
        <v>1065.51363</v>
      </c>
      <c r="H22" s="57"/>
      <c r="I22" s="69">
        <v>3023.54739</v>
      </c>
      <c r="J22" s="57"/>
      <c r="K22" s="153">
        <v>350000</v>
      </c>
      <c r="L22" s="57"/>
      <c r="M22" s="47">
        <v>0</v>
      </c>
      <c r="N22" s="57"/>
      <c r="O22" s="69">
        <v>354089.06102</v>
      </c>
    </row>
    <row r="23" spans="3:15" ht="12" thickBot="1">
      <c r="C23" s="22" t="s">
        <v>51</v>
      </c>
      <c r="G23" s="39">
        <f>SUM(G17:G22)</f>
        <v>240736.6242440822</v>
      </c>
      <c r="H23" s="39">
        <f aca="true" t="shared" si="1" ref="H23:O23">SUM(H17:H22)</f>
        <v>0</v>
      </c>
      <c r="I23" s="39">
        <f t="shared" si="1"/>
        <v>119627.69979052946</v>
      </c>
      <c r="J23" s="39">
        <f t="shared" si="1"/>
        <v>0</v>
      </c>
      <c r="K23" s="39">
        <f t="shared" si="1"/>
        <v>354802.7083333333</v>
      </c>
      <c r="L23" s="39">
        <f t="shared" si="1"/>
        <v>0</v>
      </c>
      <c r="M23" s="39">
        <f t="shared" si="1"/>
        <v>-10311.984881917808</v>
      </c>
      <c r="N23" s="39">
        <f t="shared" si="1"/>
        <v>0</v>
      </c>
      <c r="O23" s="39">
        <f t="shared" si="1"/>
        <v>704855.0474860271</v>
      </c>
    </row>
    <row r="24" spans="7:15" ht="12" thickTop="1">
      <c r="G24" s="47"/>
      <c r="H24" s="57"/>
      <c r="I24" s="47"/>
      <c r="J24" s="57"/>
      <c r="K24" s="153"/>
      <c r="L24" s="57"/>
      <c r="M24" s="47"/>
      <c r="N24" s="57"/>
      <c r="O24" s="47"/>
    </row>
    <row r="25" spans="2:15" ht="11.25">
      <c r="B25" s="21" t="s">
        <v>60</v>
      </c>
      <c r="D25" s="21"/>
      <c r="E25" s="21"/>
      <c r="F25" s="21"/>
      <c r="G25" s="47"/>
      <c r="H25" s="57"/>
      <c r="I25" s="47"/>
      <c r="J25" s="57"/>
      <c r="K25" s="153"/>
      <c r="L25" s="57"/>
      <c r="M25" s="47"/>
      <c r="N25" s="57"/>
      <c r="O25" s="47"/>
    </row>
    <row r="26" spans="3:15" ht="11.25">
      <c r="C26" s="27" t="s">
        <v>44</v>
      </c>
      <c r="D26" s="19"/>
      <c r="E26" s="19"/>
      <c r="F26" s="19"/>
      <c r="G26" s="30">
        <v>906.8548199999999</v>
      </c>
      <c r="H26" s="30"/>
      <c r="I26" s="70">
        <v>8440.27382</v>
      </c>
      <c r="J26" s="179"/>
      <c r="K26" s="179">
        <v>0</v>
      </c>
      <c r="L26" s="30"/>
      <c r="M26" s="30">
        <v>0</v>
      </c>
      <c r="N26" s="30"/>
      <c r="O26" s="70">
        <v>9347.12864</v>
      </c>
    </row>
    <row r="27" spans="3:17" ht="11.25">
      <c r="C27" s="27" t="s">
        <v>2</v>
      </c>
      <c r="D27" s="19"/>
      <c r="E27" s="19"/>
      <c r="F27" s="19"/>
      <c r="G27" s="120">
        <v>6284.5876216438355</v>
      </c>
      <c r="H27" s="121"/>
      <c r="I27" s="69">
        <v>4027.3972602739723</v>
      </c>
      <c r="J27" s="121"/>
      <c r="K27" s="176">
        <v>0</v>
      </c>
      <c r="L27" s="121"/>
      <c r="M27" s="120">
        <v>-10311.984881917808</v>
      </c>
      <c r="N27" s="57"/>
      <c r="O27" s="69">
        <v>0</v>
      </c>
      <c r="Q27" s="158"/>
    </row>
    <row r="28" spans="3:17" ht="11.25">
      <c r="C28" s="27" t="s">
        <v>57</v>
      </c>
      <c r="D28" s="19"/>
      <c r="E28" s="19"/>
      <c r="F28" s="19"/>
      <c r="G28" s="47">
        <v>13367.123382027397</v>
      </c>
      <c r="H28" s="57"/>
      <c r="I28" s="69">
        <v>3207.48438</v>
      </c>
      <c r="J28" s="57"/>
      <c r="K28" s="153">
        <v>0</v>
      </c>
      <c r="L28" s="57"/>
      <c r="M28" s="47">
        <v>0</v>
      </c>
      <c r="N28" s="57"/>
      <c r="O28" s="69">
        <v>16574.607762027397</v>
      </c>
      <c r="Q28" s="159" t="s">
        <v>99</v>
      </c>
    </row>
    <row r="29" spans="3:15" ht="11.25">
      <c r="C29" s="27" t="s">
        <v>3</v>
      </c>
      <c r="D29" s="19"/>
      <c r="E29" s="19"/>
      <c r="F29" s="19"/>
      <c r="G29" s="47">
        <v>692.0846700000001</v>
      </c>
      <c r="H29" s="57"/>
      <c r="I29" s="69">
        <v>5474.75291</v>
      </c>
      <c r="J29" s="57"/>
      <c r="K29" s="153">
        <v>0</v>
      </c>
      <c r="L29" s="57"/>
      <c r="M29" s="47">
        <v>0</v>
      </c>
      <c r="N29" s="57"/>
      <c r="O29" s="69">
        <v>6166.83758</v>
      </c>
    </row>
    <row r="30" spans="3:15" ht="11.25">
      <c r="C30" s="27" t="s">
        <v>58</v>
      </c>
      <c r="D30" s="19"/>
      <c r="E30" s="19"/>
      <c r="F30" s="19"/>
      <c r="G30" s="47">
        <v>6247.379980000001</v>
      </c>
      <c r="H30" s="57"/>
      <c r="I30" s="69">
        <v>4152.90534</v>
      </c>
      <c r="J30" s="57"/>
      <c r="K30" s="153">
        <v>0</v>
      </c>
      <c r="L30" s="57"/>
      <c r="M30" s="47">
        <v>0</v>
      </c>
      <c r="N30" s="57"/>
      <c r="O30" s="69">
        <v>10400.28532</v>
      </c>
    </row>
    <row r="31" spans="3:15" ht="11.25">
      <c r="C31" s="27" t="s">
        <v>95</v>
      </c>
      <c r="D31" s="19"/>
      <c r="E31" s="19"/>
      <c r="F31" s="19"/>
      <c r="G31" s="47">
        <v>0</v>
      </c>
      <c r="H31" s="57"/>
      <c r="I31" s="153">
        <v>0</v>
      </c>
      <c r="J31" s="57"/>
      <c r="K31" s="153">
        <v>10000</v>
      </c>
      <c r="L31" s="57"/>
      <c r="M31" s="47">
        <v>0</v>
      </c>
      <c r="N31" s="57"/>
      <c r="O31" s="69">
        <v>10000</v>
      </c>
    </row>
    <row r="32" spans="3:15" ht="11.25">
      <c r="C32" s="27" t="s">
        <v>80</v>
      </c>
      <c r="D32" s="19"/>
      <c r="E32" s="19"/>
      <c r="F32" s="19"/>
      <c r="G32" s="120">
        <v>16666.666</v>
      </c>
      <c r="H32" s="57"/>
      <c r="I32" s="69">
        <v>8000</v>
      </c>
      <c r="J32" s="57"/>
      <c r="K32" s="153">
        <v>4000</v>
      </c>
      <c r="L32" s="57"/>
      <c r="M32" s="47">
        <v>0</v>
      </c>
      <c r="N32" s="57"/>
      <c r="O32" s="69">
        <v>28666.666</v>
      </c>
    </row>
    <row r="33" spans="4:15" ht="12">
      <c r="D33" s="22" t="s">
        <v>61</v>
      </c>
      <c r="E33"/>
      <c r="F33"/>
      <c r="G33" s="56">
        <f>SUM(G26:G32)</f>
        <v>44164.69647367124</v>
      </c>
      <c r="H33" s="56">
        <f aca="true" t="shared" si="2" ref="H33:O33">SUM(H26:H32)</f>
        <v>0</v>
      </c>
      <c r="I33" s="56">
        <f>SUM(I26:I32)</f>
        <v>33302.81371027397</v>
      </c>
      <c r="J33" s="56">
        <f t="shared" si="2"/>
        <v>0</v>
      </c>
      <c r="K33" s="56">
        <f t="shared" si="2"/>
        <v>14000</v>
      </c>
      <c r="L33" s="56">
        <f t="shared" si="2"/>
        <v>0</v>
      </c>
      <c r="M33" s="56">
        <f t="shared" si="2"/>
        <v>-10311.984881917808</v>
      </c>
      <c r="N33" s="56">
        <f t="shared" si="2"/>
        <v>0</v>
      </c>
      <c r="O33" s="56">
        <f t="shared" si="2"/>
        <v>81155.5253020274</v>
      </c>
    </row>
    <row r="34" spans="7:17" ht="11.25">
      <c r="G34" s="47"/>
      <c r="H34" s="57"/>
      <c r="I34" s="47"/>
      <c r="J34" s="57"/>
      <c r="K34" s="153"/>
      <c r="L34" s="57"/>
      <c r="M34" s="47"/>
      <c r="N34" s="57"/>
      <c r="O34" s="47"/>
      <c r="Q34" s="18"/>
    </row>
    <row r="35" spans="2:15" ht="11.25">
      <c r="B35" s="15" t="s">
        <v>4</v>
      </c>
      <c r="G35" s="47">
        <v>400000.00399999984</v>
      </c>
      <c r="H35" s="57"/>
      <c r="I35" s="69">
        <v>56000</v>
      </c>
      <c r="J35" s="57"/>
      <c r="K35" s="153">
        <v>40000</v>
      </c>
      <c r="L35" s="57"/>
      <c r="M35" s="47">
        <v>0</v>
      </c>
      <c r="N35" s="57"/>
      <c r="O35" s="69">
        <v>496000.00399999984</v>
      </c>
    </row>
    <row r="36" spans="2:15" ht="11.25">
      <c r="B36" s="15" t="s">
        <v>5</v>
      </c>
      <c r="G36" s="47">
        <v>133.461</v>
      </c>
      <c r="H36" s="57"/>
      <c r="I36" s="69">
        <v>480.653</v>
      </c>
      <c r="J36" s="57"/>
      <c r="K36" s="153">
        <v>0</v>
      </c>
      <c r="L36" s="57"/>
      <c r="M36" s="47">
        <v>0</v>
      </c>
      <c r="N36" s="57"/>
      <c r="O36" s="69">
        <v>614.114</v>
      </c>
    </row>
    <row r="37" spans="2:15" ht="11.25">
      <c r="B37" s="15" t="s">
        <v>6</v>
      </c>
      <c r="G37" s="47">
        <v>0</v>
      </c>
      <c r="H37" s="57"/>
      <c r="I37" s="69">
        <v>2987.28766</v>
      </c>
      <c r="J37" s="57"/>
      <c r="K37" s="153">
        <v>0</v>
      </c>
      <c r="L37" s="57"/>
      <c r="M37" s="47">
        <v>0</v>
      </c>
      <c r="N37" s="57"/>
      <c r="O37" s="69">
        <v>2987.28766</v>
      </c>
    </row>
    <row r="38" spans="5:15" ht="11.25">
      <c r="E38" s="22" t="s">
        <v>49</v>
      </c>
      <c r="F38" s="22"/>
      <c r="G38" s="50">
        <f>SUM(G33:G37)</f>
        <v>444298.1614736711</v>
      </c>
      <c r="H38" s="50">
        <f aca="true" t="shared" si="3" ref="H38:O38">SUM(H33:H37)</f>
        <v>0</v>
      </c>
      <c r="I38" s="50">
        <f t="shared" si="3"/>
        <v>92770.75437027398</v>
      </c>
      <c r="J38" s="50">
        <f t="shared" si="3"/>
        <v>0</v>
      </c>
      <c r="K38" s="50">
        <f t="shared" si="3"/>
        <v>54000</v>
      </c>
      <c r="L38" s="50">
        <f t="shared" si="3"/>
        <v>0</v>
      </c>
      <c r="M38" s="50">
        <f t="shared" si="3"/>
        <v>-10311.984881917808</v>
      </c>
      <c r="N38" s="50">
        <f t="shared" si="3"/>
        <v>0</v>
      </c>
      <c r="O38" s="50">
        <f t="shared" si="3"/>
        <v>580756.9309620272</v>
      </c>
    </row>
    <row r="39" spans="3:15" ht="11.25">
      <c r="C39" s="32"/>
      <c r="D39" s="32"/>
      <c r="E39" s="32"/>
      <c r="F39" s="32"/>
      <c r="G39" s="23"/>
      <c r="I39" s="23"/>
      <c r="M39" s="23"/>
      <c r="O39" s="23"/>
    </row>
    <row r="40" spans="2:15" ht="11.25">
      <c r="B40" s="21" t="s">
        <v>62</v>
      </c>
      <c r="D40" s="21"/>
      <c r="E40" s="21"/>
      <c r="F40" s="21"/>
      <c r="G40" s="18"/>
      <c r="I40" s="18"/>
      <c r="M40" s="18"/>
      <c r="O40" s="18"/>
    </row>
    <row r="41" spans="3:15" ht="11.25">
      <c r="C41" s="15" t="s">
        <v>7</v>
      </c>
      <c r="G41" s="18">
        <v>0</v>
      </c>
      <c r="I41" s="69">
        <v>7.501</v>
      </c>
      <c r="K41" s="69">
        <v>0</v>
      </c>
      <c r="M41" s="18">
        <v>-8.5</v>
      </c>
      <c r="O41" s="69">
        <v>-0.9989999999999997</v>
      </c>
    </row>
    <row r="42" spans="3:15" ht="11.25">
      <c r="C42" s="15" t="s">
        <v>46</v>
      </c>
      <c r="G42" s="18">
        <v>179838.18584</v>
      </c>
      <c r="I42" s="69">
        <v>222292.427</v>
      </c>
      <c r="K42" s="67">
        <v>308000</v>
      </c>
      <c r="M42" s="18">
        <v>-251285.86894</v>
      </c>
      <c r="O42" s="69">
        <v>458844.7439</v>
      </c>
    </row>
    <row r="43" spans="3:15" ht="11.25">
      <c r="C43" s="15" t="s">
        <v>8</v>
      </c>
      <c r="G43" s="18">
        <f>SUM('BS - 12-31-15'!G43:G44)</f>
        <v>-272069.79004430125</v>
      </c>
      <c r="H43" s="18">
        <f>SUM('BS - 12-31-15'!H43:H44)</f>
        <v>0</v>
      </c>
      <c r="I43" s="18">
        <f>SUM('BS - 12-31-15'!I43:I44)</f>
        <v>-197018.77541993023</v>
      </c>
      <c r="J43" s="18">
        <f>SUM('BS - 12-31-15'!J43:J44)</f>
        <v>0</v>
      </c>
      <c r="K43" s="18">
        <f>SUM('BS - 12-31-15'!K43:K44)</f>
        <v>0</v>
      </c>
      <c r="L43" s="18">
        <f>SUM('BS - 12-31-15'!L43:L44)</f>
        <v>0</v>
      </c>
      <c r="M43" s="18">
        <f>SUM('BS - 12-31-15'!M43:M44)</f>
        <v>251294.20255999998</v>
      </c>
      <c r="N43" s="18">
        <f>SUM('BS - 12-31-15'!N43:N44)</f>
        <v>0</v>
      </c>
      <c r="O43" s="18">
        <f>SUM('BS - 12-31-15'!O43:O44)</f>
        <v>-217794.36290423144</v>
      </c>
    </row>
    <row r="44" spans="3:15" ht="11.25">
      <c r="C44" s="15" t="s">
        <v>47</v>
      </c>
      <c r="G44" s="18">
        <f>'IS - 2016'!E35</f>
        <v>-111329.93302528765</v>
      </c>
      <c r="H44" s="18">
        <f>'IS - 2016'!F35</f>
        <v>0</v>
      </c>
      <c r="I44" s="18">
        <f>'IS - 2016'!G35</f>
        <v>1575.7928401857384</v>
      </c>
      <c r="J44" s="18">
        <f>'IS - 2016'!H35</f>
        <v>0</v>
      </c>
      <c r="K44" s="18">
        <f>'IS - 2016'!I35</f>
        <v>-7197.291666666666</v>
      </c>
      <c r="L44" s="18">
        <f>'IS - 2016'!J35</f>
        <v>0</v>
      </c>
      <c r="M44" s="18">
        <f>'IS - 2016'!K35</f>
        <v>0</v>
      </c>
      <c r="O44" s="69">
        <f>SUM(G44:M44)</f>
        <v>-116951.43185176859</v>
      </c>
    </row>
    <row r="45" spans="5:15" ht="11.25">
      <c r="E45" s="38" t="s">
        <v>48</v>
      </c>
      <c r="F45" s="38"/>
      <c r="G45" s="50">
        <f>SUM(G41:G44)</f>
        <v>-203561.5372295889</v>
      </c>
      <c r="H45" s="50">
        <f aca="true" t="shared" si="4" ref="H45:O45">SUM(H41:H44)</f>
        <v>0</v>
      </c>
      <c r="I45" s="50">
        <f t="shared" si="4"/>
        <v>26856.945420255495</v>
      </c>
      <c r="J45" s="50">
        <f t="shared" si="4"/>
        <v>0</v>
      </c>
      <c r="K45" s="50">
        <f t="shared" si="4"/>
        <v>300802.7083333333</v>
      </c>
      <c r="L45" s="50">
        <f t="shared" si="4"/>
        <v>0</v>
      </c>
      <c r="M45" s="50">
        <f t="shared" si="4"/>
        <v>-0.16638000000966713</v>
      </c>
      <c r="N45" s="50">
        <f t="shared" si="4"/>
        <v>0</v>
      </c>
      <c r="O45" s="50">
        <f t="shared" si="4"/>
        <v>124097.95014399996</v>
      </c>
    </row>
    <row r="46" spans="3:15" ht="11.25">
      <c r="C46" s="32"/>
      <c r="D46" s="32"/>
      <c r="E46" s="32"/>
      <c r="F46" s="32"/>
      <c r="G46" s="23"/>
      <c r="I46" s="23"/>
      <c r="K46" s="82"/>
      <c r="M46" s="23"/>
      <c r="O46" s="23"/>
    </row>
    <row r="47" spans="3:16" ht="12" thickBot="1">
      <c r="C47" s="22" t="s">
        <v>45</v>
      </c>
      <c r="D47" s="33"/>
      <c r="E47" s="33"/>
      <c r="F47" s="33"/>
      <c r="G47" s="52">
        <f>G38+G45</f>
        <v>240736.6242440822</v>
      </c>
      <c r="H47" s="52">
        <f aca="true" t="shared" si="5" ref="H47:O47">H38+H45</f>
        <v>0</v>
      </c>
      <c r="I47" s="52">
        <f t="shared" si="5"/>
        <v>119627.69979052947</v>
      </c>
      <c r="J47" s="52">
        <f t="shared" si="5"/>
        <v>0</v>
      </c>
      <c r="K47" s="52">
        <f t="shared" si="5"/>
        <v>354802.7083333333</v>
      </c>
      <c r="L47" s="52">
        <f t="shared" si="5"/>
        <v>0</v>
      </c>
      <c r="M47" s="52">
        <f t="shared" si="5"/>
        <v>-10312.151261917817</v>
      </c>
      <c r="N47" s="52">
        <f t="shared" si="5"/>
        <v>0</v>
      </c>
      <c r="O47" s="52">
        <f t="shared" si="5"/>
        <v>704854.8811060272</v>
      </c>
      <c r="P47" s="24"/>
    </row>
    <row r="48" spans="4:16" ht="12" thickTop="1">
      <c r="D48" s="32"/>
      <c r="E48" s="32"/>
      <c r="F48" s="32"/>
      <c r="G48" s="82"/>
      <c r="H48" s="82"/>
      <c r="I48" s="82"/>
      <c r="J48" s="82"/>
      <c r="K48" s="82"/>
      <c r="L48" s="82"/>
      <c r="M48" s="82"/>
      <c r="N48" s="82"/>
      <c r="O48" s="82"/>
      <c r="P48" s="24"/>
    </row>
    <row r="49" spans="3:16" ht="11.25">
      <c r="C49" s="36"/>
      <c r="D49" s="36"/>
      <c r="E49" s="36"/>
      <c r="F49" s="36"/>
      <c r="G49" s="25"/>
      <c r="H49" s="25"/>
      <c r="I49" s="25"/>
      <c r="J49" s="25"/>
      <c r="K49" s="25"/>
      <c r="L49" s="25"/>
      <c r="M49" s="25"/>
      <c r="N49" s="25"/>
      <c r="O49" s="25"/>
      <c r="P49" s="24"/>
    </row>
    <row r="50" spans="7:16" ht="11.25">
      <c r="G50" s="24"/>
      <c r="H50" s="24"/>
      <c r="I50" s="24"/>
      <c r="J50" s="24"/>
      <c r="K50" s="82"/>
      <c r="L50" s="24"/>
      <c r="M50" s="24"/>
      <c r="N50" s="24"/>
      <c r="O50" s="24"/>
      <c r="P50" s="24"/>
    </row>
    <row r="51" spans="7:16" ht="11.25">
      <c r="G51" s="24"/>
      <c r="H51" s="24"/>
      <c r="I51" s="24"/>
      <c r="J51" s="24"/>
      <c r="K51" s="82"/>
      <c r="L51" s="24"/>
      <c r="M51" s="24"/>
      <c r="N51" s="24"/>
      <c r="O51" s="24"/>
      <c r="P51" s="24"/>
    </row>
  </sheetData>
  <sheetProtection/>
  <mergeCells count="5">
    <mergeCell ref="A3:P3"/>
    <mergeCell ref="A4:P4"/>
    <mergeCell ref="A5:P5"/>
    <mergeCell ref="A1:P1"/>
    <mergeCell ref="A2:P2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R51"/>
  <sheetViews>
    <sheetView zoomScalePageLayoutView="0" workbookViewId="0" topLeftCell="A1">
      <pane xSplit="5" ySplit="9" topLeftCell="F32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A5" sqref="A5:P5"/>
    </sheetView>
  </sheetViews>
  <sheetFormatPr defaultColWidth="9.140625" defaultRowHeight="12.75"/>
  <cols>
    <col min="1" max="1" width="1.57421875" style="2" customWidth="1"/>
    <col min="2" max="2" width="2.57421875" style="2" customWidth="1"/>
    <col min="3" max="3" width="2.8515625" style="2" customWidth="1"/>
    <col min="4" max="4" width="5.57421875" style="2" customWidth="1"/>
    <col min="5" max="5" width="22.421875" style="2" bestFit="1" customWidth="1"/>
    <col min="6" max="6" width="1.421875" style="2" customWidth="1"/>
    <col min="7" max="7" width="12.57421875" style="2" bestFit="1" customWidth="1"/>
    <col min="8" max="8" width="0.85546875" style="2" customWidth="1"/>
    <col min="9" max="9" width="12.57421875" style="2" bestFit="1" customWidth="1"/>
    <col min="10" max="10" width="0.85546875" style="2" customWidth="1"/>
    <col min="11" max="11" width="11.140625" style="67" customWidth="1"/>
    <col min="12" max="12" width="0.85546875" style="2" customWidth="1"/>
    <col min="13" max="13" width="11.57421875" style="2" bestFit="1" customWidth="1"/>
    <col min="14" max="14" width="0.85546875" style="2" customWidth="1"/>
    <col min="15" max="15" width="13.00390625" style="2" bestFit="1" customWidth="1"/>
    <col min="16" max="16" width="1.57421875" style="2" customWidth="1"/>
    <col min="17" max="16384" width="9.140625" style="2" customWidth="1"/>
  </cols>
  <sheetData>
    <row r="1" spans="1:16" ht="11.25">
      <c r="A1" s="212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1.25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1.25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11.25">
      <c r="A4" s="212">
        <v>2017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1.25">
      <c r="A5" s="212" t="s">
        <v>59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7" spans="7:9" ht="11.25" hidden="1">
      <c r="G7" s="11"/>
      <c r="I7" s="11"/>
    </row>
    <row r="8" spans="7:15" ht="11.25">
      <c r="G8" s="11"/>
      <c r="I8" s="11"/>
      <c r="K8" s="169"/>
      <c r="M8" s="11" t="s">
        <v>37</v>
      </c>
      <c r="O8" s="11"/>
    </row>
    <row r="9" spans="3:15" ht="11.25">
      <c r="C9" s="119"/>
      <c r="D9" s="119"/>
      <c r="E9" s="119"/>
      <c r="F9" s="119"/>
      <c r="G9" s="4" t="s">
        <v>104</v>
      </c>
      <c r="I9" s="4" t="s">
        <v>105</v>
      </c>
      <c r="K9" s="189" t="s">
        <v>106</v>
      </c>
      <c r="M9" s="4" t="s">
        <v>38</v>
      </c>
      <c r="N9" s="3"/>
      <c r="O9" s="4" t="s">
        <v>39</v>
      </c>
    </row>
    <row r="10" spans="3:15" ht="11.25">
      <c r="C10" s="119"/>
      <c r="D10" s="119"/>
      <c r="E10" s="119"/>
      <c r="F10" s="119"/>
      <c r="G10" s="7"/>
      <c r="M10" s="7"/>
      <c r="O10" s="7"/>
    </row>
    <row r="11" spans="2:15" ht="11.25">
      <c r="B11" s="5" t="s">
        <v>52</v>
      </c>
      <c r="G11" s="7"/>
      <c r="M11" s="7"/>
      <c r="O11" s="7"/>
    </row>
    <row r="12" spans="3:18" ht="11.25">
      <c r="C12" s="117" t="s">
        <v>0</v>
      </c>
      <c r="D12" s="117"/>
      <c r="E12" s="117"/>
      <c r="F12" s="117"/>
      <c r="G12" s="10">
        <f>'CF 2017'!G41</f>
        <v>-35968.66298327397</v>
      </c>
      <c r="H12" s="10">
        <f>'CF 2017'!H41</f>
        <v>0</v>
      </c>
      <c r="I12" s="10">
        <f>'CF 2017'!I41</f>
        <v>3769.2541977241244</v>
      </c>
      <c r="J12" s="10">
        <f>'CF 2017'!J41</f>
        <v>0</v>
      </c>
      <c r="K12" s="10">
        <f>'CF 2017'!K41</f>
        <v>8.457500000000437</v>
      </c>
      <c r="L12" s="10">
        <f>'CF 2017'!L41</f>
        <v>0</v>
      </c>
      <c r="M12" s="10">
        <f>'CF 2017'!M41</f>
        <v>0</v>
      </c>
      <c r="N12" s="10">
        <f>'CF 2017'!N41</f>
        <v>0</v>
      </c>
      <c r="O12" s="10">
        <f>'CF 2017'!O41</f>
        <v>-32190.951285549847</v>
      </c>
      <c r="Q12" s="10"/>
      <c r="R12" s="10"/>
    </row>
    <row r="13" spans="3:18" ht="11.25">
      <c r="C13" s="117" t="s">
        <v>26</v>
      </c>
      <c r="D13" s="117"/>
      <c r="E13" s="117"/>
      <c r="F13" s="117"/>
      <c r="G13" s="120">
        <v>335</v>
      </c>
      <c r="H13" s="121"/>
      <c r="I13" s="69">
        <v>8459.269788534248</v>
      </c>
      <c r="J13" s="121"/>
      <c r="K13" s="176">
        <v>0</v>
      </c>
      <c r="L13" s="121"/>
      <c r="M13" s="120">
        <v>0</v>
      </c>
      <c r="N13" s="121"/>
      <c r="O13" s="67">
        <f>SUM(G13:M13)</f>
        <v>8794.269788534248</v>
      </c>
      <c r="Q13" s="10"/>
      <c r="R13" s="203"/>
    </row>
    <row r="14" spans="3:17" ht="11.25">
      <c r="C14" s="117" t="s">
        <v>1</v>
      </c>
      <c r="D14" s="117"/>
      <c r="E14" s="117"/>
      <c r="F14" s="117"/>
      <c r="G14" s="120">
        <v>4113.698630136986</v>
      </c>
      <c r="H14" s="121"/>
      <c r="I14" s="69">
        <v>5918.577418643835</v>
      </c>
      <c r="J14" s="121"/>
      <c r="K14" s="176">
        <v>0</v>
      </c>
      <c r="L14" s="121"/>
      <c r="M14" s="120">
        <v>-10032.276048780821</v>
      </c>
      <c r="N14" s="121"/>
      <c r="O14" s="67">
        <f>SUM(G14:M14)</f>
        <v>0</v>
      </c>
      <c r="Q14" s="10"/>
    </row>
    <row r="15" spans="3:17" ht="11.25">
      <c r="C15" s="117" t="s">
        <v>27</v>
      </c>
      <c r="D15" s="117"/>
      <c r="E15" s="117"/>
      <c r="F15" s="117"/>
      <c r="G15" s="120">
        <v>1546.14192</v>
      </c>
      <c r="H15" s="121"/>
      <c r="I15" s="69">
        <v>21739.10268</v>
      </c>
      <c r="J15" s="121"/>
      <c r="K15" s="176">
        <v>0</v>
      </c>
      <c r="L15" s="121"/>
      <c r="M15" s="120">
        <v>0</v>
      </c>
      <c r="N15" s="121"/>
      <c r="O15" s="67">
        <f>SUM(G15:M15)</f>
        <v>23285.244599999998</v>
      </c>
      <c r="Q15" s="10"/>
    </row>
    <row r="16" spans="3:17" ht="11.25">
      <c r="C16" s="117" t="s">
        <v>28</v>
      </c>
      <c r="D16" s="117"/>
      <c r="E16" s="117"/>
      <c r="F16" s="117"/>
      <c r="G16" s="120">
        <v>7389.43784</v>
      </c>
      <c r="H16" s="121"/>
      <c r="I16" s="69">
        <v>16651.099789999997</v>
      </c>
      <c r="J16" s="121"/>
      <c r="K16" s="176">
        <v>0</v>
      </c>
      <c r="L16" s="121"/>
      <c r="M16" s="120">
        <v>0</v>
      </c>
      <c r="N16" s="121"/>
      <c r="O16" s="67">
        <f>SUM(G16:M16)</f>
        <v>24040.537629999995</v>
      </c>
      <c r="Q16" s="10"/>
    </row>
    <row r="17" spans="4:18" ht="11.25">
      <c r="D17" s="38" t="s">
        <v>50</v>
      </c>
      <c r="E17" s="38"/>
      <c r="F17" s="38"/>
      <c r="G17" s="56">
        <f>SUM(G12:G16)</f>
        <v>-22584.384593136987</v>
      </c>
      <c r="H17" s="56">
        <f aca="true" t="shared" si="0" ref="H17:O17">SUM(H12:H16)</f>
        <v>0</v>
      </c>
      <c r="I17" s="56">
        <f t="shared" si="0"/>
        <v>56537.30387490221</v>
      </c>
      <c r="J17" s="56">
        <f t="shared" si="0"/>
        <v>0</v>
      </c>
      <c r="K17" s="56">
        <f t="shared" si="0"/>
        <v>8.457500000000437</v>
      </c>
      <c r="L17" s="56">
        <f t="shared" si="0"/>
        <v>0</v>
      </c>
      <c r="M17" s="56">
        <f t="shared" si="0"/>
        <v>-10032.276048780821</v>
      </c>
      <c r="N17" s="56">
        <f t="shared" si="0"/>
        <v>0</v>
      </c>
      <c r="O17" s="56">
        <f t="shared" si="0"/>
        <v>23929.100732984396</v>
      </c>
      <c r="Q17" s="10"/>
      <c r="R17" s="10"/>
    </row>
    <row r="18" spans="7:17" ht="11.25">
      <c r="G18" s="122"/>
      <c r="H18" s="121"/>
      <c r="I18" s="122"/>
      <c r="J18" s="121"/>
      <c r="K18" s="176"/>
      <c r="L18" s="121"/>
      <c r="M18" s="122"/>
      <c r="N18" s="121"/>
      <c r="O18" s="122"/>
      <c r="Q18" s="10"/>
    </row>
    <row r="19" spans="2:18" ht="11.25">
      <c r="B19" s="116" t="s">
        <v>54</v>
      </c>
      <c r="G19" s="120">
        <v>26303.350000000006</v>
      </c>
      <c r="H19" s="121"/>
      <c r="I19" s="69">
        <v>58518.2</v>
      </c>
      <c r="J19" s="121"/>
      <c r="K19" s="176">
        <v>0</v>
      </c>
      <c r="L19" s="121"/>
      <c r="M19" s="120">
        <v>0</v>
      </c>
      <c r="N19" s="121"/>
      <c r="O19" s="67">
        <f>SUM(G19:M19)</f>
        <v>84821.55</v>
      </c>
      <c r="Q19" s="10"/>
      <c r="R19" s="203"/>
    </row>
    <row r="20" spans="2:18" ht="11.25">
      <c r="B20" s="116" t="s">
        <v>55</v>
      </c>
      <c r="G20" s="120">
        <v>194028.15999999997</v>
      </c>
      <c r="H20" s="121"/>
      <c r="I20" s="69">
        <v>2936.959999999999</v>
      </c>
      <c r="J20" s="121"/>
      <c r="K20" s="176">
        <v>0</v>
      </c>
      <c r="L20" s="121"/>
      <c r="M20" s="120">
        <v>0</v>
      </c>
      <c r="N20" s="121"/>
      <c r="O20" s="67">
        <f>SUM(G20:M20)</f>
        <v>196965.11999999997</v>
      </c>
      <c r="Q20" s="10"/>
      <c r="R20" s="203"/>
    </row>
    <row r="21" spans="2:17" ht="11.25">
      <c r="B21" s="2" t="s">
        <v>43</v>
      </c>
      <c r="G21" s="120">
        <v>9215.69715</v>
      </c>
      <c r="H21" s="121"/>
      <c r="I21" s="69">
        <v>5554.18838</v>
      </c>
      <c r="J21" s="121"/>
      <c r="K21" s="176">
        <v>0</v>
      </c>
      <c r="L21" s="121"/>
      <c r="M21" s="120">
        <v>0</v>
      </c>
      <c r="N21" s="121"/>
      <c r="O21" s="67">
        <f>SUM(G21:M21)</f>
        <v>14769.88553</v>
      </c>
      <c r="Q21" s="10"/>
    </row>
    <row r="22" spans="2:17" ht="11.25">
      <c r="B22" s="2" t="s">
        <v>56</v>
      </c>
      <c r="G22" s="120">
        <v>1065.51363</v>
      </c>
      <c r="H22" s="121"/>
      <c r="I22" s="69">
        <v>3023.54739</v>
      </c>
      <c r="J22" s="121"/>
      <c r="K22" s="176">
        <v>350000</v>
      </c>
      <c r="L22" s="121"/>
      <c r="M22" s="120">
        <v>0</v>
      </c>
      <c r="N22" s="121"/>
      <c r="O22" s="67">
        <f>SUM(G22:M22)</f>
        <v>354089.06102</v>
      </c>
      <c r="Q22" s="10"/>
    </row>
    <row r="23" spans="3:18" ht="12" thickBot="1">
      <c r="C23" s="38" t="s">
        <v>51</v>
      </c>
      <c r="G23" s="45">
        <f>SUM(G17:G22)</f>
        <v>208028.336186863</v>
      </c>
      <c r="H23" s="45">
        <f aca="true" t="shared" si="1" ref="H23:M23">SUM(H17:H22)</f>
        <v>0</v>
      </c>
      <c r="I23" s="45">
        <f t="shared" si="1"/>
        <v>126570.19964490221</v>
      </c>
      <c r="J23" s="45">
        <f t="shared" si="1"/>
        <v>0</v>
      </c>
      <c r="K23" s="45">
        <f t="shared" si="1"/>
        <v>350008.4575</v>
      </c>
      <c r="L23" s="45">
        <f t="shared" si="1"/>
        <v>0</v>
      </c>
      <c r="M23" s="45">
        <f t="shared" si="1"/>
        <v>-10032.276048780821</v>
      </c>
      <c r="N23" s="45">
        <f>SUM(N17:N22)</f>
        <v>0</v>
      </c>
      <c r="O23" s="45">
        <f>SUM(O17:O22)</f>
        <v>674574.7172829844</v>
      </c>
      <c r="Q23" s="10"/>
      <c r="R23" s="10"/>
    </row>
    <row r="24" spans="7:17" ht="12" thickTop="1">
      <c r="G24" s="120"/>
      <c r="H24" s="121"/>
      <c r="I24" s="120"/>
      <c r="J24" s="121"/>
      <c r="K24" s="176"/>
      <c r="L24" s="121"/>
      <c r="M24" s="120"/>
      <c r="N24" s="121"/>
      <c r="O24" s="120"/>
      <c r="Q24" s="10"/>
    </row>
    <row r="25" spans="2:17" ht="11.25">
      <c r="B25" s="5" t="s">
        <v>60</v>
      </c>
      <c r="D25" s="5"/>
      <c r="E25" s="5"/>
      <c r="F25" s="5"/>
      <c r="G25" s="120"/>
      <c r="H25" s="121"/>
      <c r="I25" s="120"/>
      <c r="J25" s="121"/>
      <c r="K25" s="176"/>
      <c r="L25" s="121"/>
      <c r="M25" s="120"/>
      <c r="N25" s="121"/>
      <c r="O25" s="120"/>
      <c r="Q25" s="10"/>
    </row>
    <row r="26" spans="3:17" ht="11.25">
      <c r="C26" s="117" t="s">
        <v>44</v>
      </c>
      <c r="D26" s="37"/>
      <c r="E26" s="37"/>
      <c r="F26" s="37"/>
      <c r="G26" s="123">
        <v>906.8548199999999</v>
      </c>
      <c r="H26" s="123"/>
      <c r="I26" s="69">
        <v>8440.27382</v>
      </c>
      <c r="J26" s="123"/>
      <c r="K26" s="176">
        <v>0</v>
      </c>
      <c r="L26" s="123"/>
      <c r="M26" s="123">
        <v>0</v>
      </c>
      <c r="N26" s="123"/>
      <c r="O26" s="124">
        <f aca="true" t="shared" si="2" ref="O26:O32">SUM(G26:M26)</f>
        <v>9347.12864</v>
      </c>
      <c r="Q26" s="10"/>
    </row>
    <row r="27" spans="3:17" ht="11.25">
      <c r="C27" s="117" t="s">
        <v>2</v>
      </c>
      <c r="D27" s="37"/>
      <c r="E27" s="37"/>
      <c r="F27" s="37"/>
      <c r="G27" s="120">
        <v>5918.577418643835</v>
      </c>
      <c r="H27" s="121"/>
      <c r="I27" s="69">
        <v>4113.698630136986</v>
      </c>
      <c r="J27" s="121"/>
      <c r="K27" s="176">
        <v>0</v>
      </c>
      <c r="L27" s="121"/>
      <c r="M27" s="120">
        <v>-10032.276048780821</v>
      </c>
      <c r="N27" s="121"/>
      <c r="O27" s="67">
        <f t="shared" si="2"/>
        <v>0</v>
      </c>
      <c r="Q27" s="10"/>
    </row>
    <row r="28" spans="3:17" ht="11.25">
      <c r="C28" s="117" t="s">
        <v>57</v>
      </c>
      <c r="D28" s="37"/>
      <c r="E28" s="37"/>
      <c r="F28" s="37"/>
      <c r="G28" s="120">
        <v>12842.922489753424</v>
      </c>
      <c r="H28" s="121"/>
      <c r="I28" s="69">
        <v>3207.48438</v>
      </c>
      <c r="J28" s="121"/>
      <c r="K28" s="176">
        <v>0</v>
      </c>
      <c r="L28" s="121"/>
      <c r="M28" s="120">
        <v>0</v>
      </c>
      <c r="N28" s="121"/>
      <c r="O28" s="67">
        <f t="shared" si="2"/>
        <v>16050.406869753424</v>
      </c>
      <c r="Q28" s="10"/>
    </row>
    <row r="29" spans="3:17" ht="11.25">
      <c r="C29" s="117" t="s">
        <v>3</v>
      </c>
      <c r="D29" s="37"/>
      <c r="E29" s="37"/>
      <c r="F29" s="37"/>
      <c r="G29" s="120">
        <v>692.0846700000001</v>
      </c>
      <c r="H29" s="121"/>
      <c r="I29" s="69">
        <v>5474.75291</v>
      </c>
      <c r="J29" s="121"/>
      <c r="K29" s="176">
        <v>0</v>
      </c>
      <c r="L29" s="121"/>
      <c r="M29" s="120">
        <v>0</v>
      </c>
      <c r="N29" s="121"/>
      <c r="O29" s="67">
        <f t="shared" si="2"/>
        <v>6166.83758</v>
      </c>
      <c r="Q29" s="10"/>
    </row>
    <row r="30" spans="3:17" ht="11.25">
      <c r="C30" s="117" t="s">
        <v>58</v>
      </c>
      <c r="D30" s="37"/>
      <c r="E30" s="37"/>
      <c r="F30" s="37"/>
      <c r="G30" s="120">
        <v>6247.379980000001</v>
      </c>
      <c r="H30" s="121"/>
      <c r="I30" s="69">
        <v>4152.90534</v>
      </c>
      <c r="J30" s="121"/>
      <c r="K30" s="176">
        <v>0</v>
      </c>
      <c r="L30" s="121"/>
      <c r="M30" s="120">
        <v>0</v>
      </c>
      <c r="N30" s="121"/>
      <c r="O30" s="67">
        <f t="shared" si="2"/>
        <v>10400.28532</v>
      </c>
      <c r="Q30" s="10"/>
    </row>
    <row r="31" spans="3:17" ht="11.25">
      <c r="C31" s="117" t="s">
        <v>95</v>
      </c>
      <c r="D31" s="37"/>
      <c r="E31" s="37"/>
      <c r="F31" s="37"/>
      <c r="G31" s="120">
        <v>0</v>
      </c>
      <c r="H31" s="121"/>
      <c r="I31" s="153">
        <v>0</v>
      </c>
      <c r="J31" s="121"/>
      <c r="K31" s="176">
        <v>20000</v>
      </c>
      <c r="L31" s="121"/>
      <c r="M31" s="120">
        <v>0</v>
      </c>
      <c r="N31" s="121"/>
      <c r="O31" s="67">
        <f t="shared" si="2"/>
        <v>20000</v>
      </c>
      <c r="Q31" s="10"/>
    </row>
    <row r="32" spans="3:17" ht="11.25">
      <c r="C32" s="117" t="s">
        <v>80</v>
      </c>
      <c r="D32" s="37"/>
      <c r="E32" s="37"/>
      <c r="F32" s="37"/>
      <c r="G32" s="120">
        <v>16666.666</v>
      </c>
      <c r="H32" s="121"/>
      <c r="I32" s="69">
        <v>8000</v>
      </c>
      <c r="J32" s="121"/>
      <c r="K32" s="176">
        <v>4000</v>
      </c>
      <c r="L32" s="121"/>
      <c r="M32" s="120">
        <v>0</v>
      </c>
      <c r="N32" s="121"/>
      <c r="O32" s="67">
        <f t="shared" si="2"/>
        <v>28666.666</v>
      </c>
      <c r="Q32" s="10"/>
    </row>
    <row r="33" spans="4:18" ht="12">
      <c r="D33" s="38" t="s">
        <v>61</v>
      </c>
      <c r="E33" s="51"/>
      <c r="F33" s="51"/>
      <c r="G33" s="56">
        <f>SUM(G26:G32)</f>
        <v>43274.485378397265</v>
      </c>
      <c r="H33" s="56">
        <f aca="true" t="shared" si="3" ref="H33:M33">SUM(H26:H32)</f>
        <v>0</v>
      </c>
      <c r="I33" s="56">
        <f t="shared" si="3"/>
        <v>33389.11508013699</v>
      </c>
      <c r="J33" s="56">
        <f t="shared" si="3"/>
        <v>0</v>
      </c>
      <c r="K33" s="56">
        <f t="shared" si="3"/>
        <v>24000</v>
      </c>
      <c r="L33" s="56">
        <f t="shared" si="3"/>
        <v>0</v>
      </c>
      <c r="M33" s="56">
        <f t="shared" si="3"/>
        <v>-10032.276048780821</v>
      </c>
      <c r="N33" s="61"/>
      <c r="O33" s="56">
        <f>SUM(O26:O32)</f>
        <v>90631.32440975343</v>
      </c>
      <c r="Q33" s="10"/>
      <c r="R33" s="7"/>
    </row>
    <row r="34" spans="7:17" ht="11.25">
      <c r="G34" s="120"/>
      <c r="H34" s="121"/>
      <c r="I34" s="120"/>
      <c r="J34" s="121"/>
      <c r="K34" s="176"/>
      <c r="L34" s="121"/>
      <c r="M34" s="120"/>
      <c r="N34" s="121"/>
      <c r="O34" s="120"/>
      <c r="Q34" s="10"/>
    </row>
    <row r="35" spans="2:18" ht="11.25">
      <c r="B35" s="2" t="s">
        <v>4</v>
      </c>
      <c r="G35" s="120">
        <v>383333.3379999998</v>
      </c>
      <c r="H35" s="121"/>
      <c r="I35" s="69">
        <v>48000</v>
      </c>
      <c r="J35" s="121"/>
      <c r="K35" s="176">
        <v>32000</v>
      </c>
      <c r="L35" s="121"/>
      <c r="M35" s="120">
        <v>0</v>
      </c>
      <c r="N35" s="121"/>
      <c r="O35" s="67">
        <v>463333.3379999998</v>
      </c>
      <c r="Q35" s="10"/>
      <c r="R35" s="203"/>
    </row>
    <row r="36" spans="2:18" ht="11.25">
      <c r="B36" s="2" t="s">
        <v>5</v>
      </c>
      <c r="G36" s="120">
        <v>133.461</v>
      </c>
      <c r="H36" s="121"/>
      <c r="I36" s="69">
        <v>18237.24444</v>
      </c>
      <c r="J36" s="121"/>
      <c r="K36" s="176">
        <v>0</v>
      </c>
      <c r="L36" s="121"/>
      <c r="M36" s="120">
        <v>0</v>
      </c>
      <c r="N36" s="121"/>
      <c r="O36" s="67">
        <v>18370.705439999998</v>
      </c>
      <c r="Q36" s="10"/>
      <c r="R36" s="203"/>
    </row>
    <row r="37" spans="2:17" ht="11.25">
      <c r="B37" s="2" t="s">
        <v>6</v>
      </c>
      <c r="G37" s="120">
        <v>0</v>
      </c>
      <c r="H37" s="121"/>
      <c r="I37" s="69">
        <v>2987.28766</v>
      </c>
      <c r="J37" s="121"/>
      <c r="K37" s="176">
        <v>0</v>
      </c>
      <c r="L37" s="121"/>
      <c r="M37" s="120">
        <v>0</v>
      </c>
      <c r="N37" s="121"/>
      <c r="O37" s="67">
        <v>2987.28766</v>
      </c>
      <c r="Q37" s="10"/>
    </row>
    <row r="38" spans="5:18" ht="11.25">
      <c r="E38" s="38" t="s">
        <v>49</v>
      </c>
      <c r="F38" s="38"/>
      <c r="G38" s="50">
        <f aca="true" t="shared" si="4" ref="G38:O38">SUM(G33:G37)</f>
        <v>426741.2843783971</v>
      </c>
      <c r="H38" s="50">
        <f t="shared" si="4"/>
        <v>0</v>
      </c>
      <c r="I38" s="50">
        <f t="shared" si="4"/>
        <v>102613.64718013698</v>
      </c>
      <c r="J38" s="50">
        <f t="shared" si="4"/>
        <v>0</v>
      </c>
      <c r="K38" s="50">
        <f t="shared" si="4"/>
        <v>56000</v>
      </c>
      <c r="L38" s="50">
        <f t="shared" si="4"/>
        <v>0</v>
      </c>
      <c r="M38" s="50">
        <f t="shared" si="4"/>
        <v>-10032.276048780821</v>
      </c>
      <c r="N38" s="50">
        <f t="shared" si="4"/>
        <v>0</v>
      </c>
      <c r="O38" s="50">
        <f t="shared" si="4"/>
        <v>575322.6555097534</v>
      </c>
      <c r="Q38" s="10"/>
      <c r="R38" s="203"/>
    </row>
    <row r="39" spans="3:17" ht="11.25">
      <c r="C39" s="125"/>
      <c r="D39" s="125"/>
      <c r="E39" s="125"/>
      <c r="F39" s="125"/>
      <c r="G39" s="9"/>
      <c r="I39" s="9"/>
      <c r="M39" s="9"/>
      <c r="O39" s="9"/>
      <c r="Q39" s="10"/>
    </row>
    <row r="40" spans="2:17" ht="11.25">
      <c r="B40" s="5" t="s">
        <v>62</v>
      </c>
      <c r="D40" s="5"/>
      <c r="E40" s="5"/>
      <c r="F40" s="5"/>
      <c r="G40" s="7"/>
      <c r="I40" s="7"/>
      <c r="M40" s="7"/>
      <c r="O40" s="7"/>
      <c r="Q40" s="10"/>
    </row>
    <row r="41" spans="3:17" ht="11.25">
      <c r="C41" s="2" t="s">
        <v>7</v>
      </c>
      <c r="G41" s="7">
        <v>0</v>
      </c>
      <c r="I41" s="69">
        <v>7.501</v>
      </c>
      <c r="K41" s="67">
        <v>0</v>
      </c>
      <c r="M41" s="7">
        <v>-8.5</v>
      </c>
      <c r="O41" s="67">
        <v>-0.9989999999999997</v>
      </c>
      <c r="Q41" s="10"/>
    </row>
    <row r="42" spans="3:17" ht="11.25">
      <c r="C42" s="2" t="s">
        <v>46</v>
      </c>
      <c r="G42" s="7">
        <v>179838.18584</v>
      </c>
      <c r="I42" s="69">
        <v>222292.427</v>
      </c>
      <c r="K42" s="67">
        <v>308000</v>
      </c>
      <c r="M42" s="7">
        <v>-251285.86894</v>
      </c>
      <c r="O42" s="67">
        <v>458844.7439</v>
      </c>
      <c r="Q42" s="10"/>
    </row>
    <row r="43" spans="3:18" ht="11.25">
      <c r="C43" s="2" t="s">
        <v>8</v>
      </c>
      <c r="G43" s="7">
        <f>SUM('BS - 12-31-16'!G43:G44)</f>
        <v>-383399.7230695889</v>
      </c>
      <c r="H43" s="7">
        <f>SUM('BS - 12-31-16'!H43:H44)</f>
        <v>0</v>
      </c>
      <c r="I43" s="7">
        <f>SUM('BS - 12-31-16'!I43:I44)</f>
        <v>-195442.98257974448</v>
      </c>
      <c r="J43" s="7">
        <f>SUM('BS - 12-31-16'!J43:J44)</f>
        <v>0</v>
      </c>
      <c r="K43" s="7">
        <f>SUM('BS - 12-31-16'!K43:K44)</f>
        <v>-7197.291666666666</v>
      </c>
      <c r="L43" s="7">
        <f>SUM('BS - 12-31-16'!L43:L44)</f>
        <v>0</v>
      </c>
      <c r="M43" s="7">
        <f>SUM('BS - 12-31-16'!M43:M44)</f>
        <v>251294.20255999998</v>
      </c>
      <c r="N43" s="7">
        <f>SUM('BS - 12-31-16'!N43:N44)</f>
        <v>0</v>
      </c>
      <c r="O43" s="7">
        <f>SUM('BS - 12-31-16'!O43:O44)</f>
        <v>-334745.79475600005</v>
      </c>
      <c r="Q43" s="10"/>
      <c r="R43" s="7"/>
    </row>
    <row r="44" spans="3:18" ht="11.25">
      <c r="C44" s="2" t="s">
        <v>47</v>
      </c>
      <c r="G44" s="7">
        <f>'IS - 2017'!E35</f>
        <v>-15151.410961945201</v>
      </c>
      <c r="H44" s="7">
        <f>'IS - 2017'!F35</f>
        <v>0</v>
      </c>
      <c r="I44" s="7">
        <f>'IS - 2017'!G35</f>
        <v>-2900.3929554902625</v>
      </c>
      <c r="J44" s="7">
        <f>'IS - 2017'!H35</f>
        <v>0</v>
      </c>
      <c r="K44" s="7">
        <f>'IS - 2017'!I35</f>
        <v>-6794.2508333333335</v>
      </c>
      <c r="L44" s="7">
        <f>'IS - 2017'!J35</f>
        <v>0</v>
      </c>
      <c r="M44" s="7">
        <f>'IS - 2017'!K35</f>
        <v>0</v>
      </c>
      <c r="N44" s="7">
        <f>'IS - 2017'!L35</f>
        <v>0</v>
      </c>
      <c r="O44" s="7">
        <f>'IS - 2017'!M35</f>
        <v>-24846.054750768795</v>
      </c>
      <c r="Q44" s="10"/>
      <c r="R44" s="7"/>
    </row>
    <row r="45" spans="5:17" ht="11.25">
      <c r="E45" s="38" t="s">
        <v>48</v>
      </c>
      <c r="F45" s="38"/>
      <c r="G45" s="50">
        <f>SUM(G41:G44)</f>
        <v>-218712.9481915341</v>
      </c>
      <c r="H45" s="50">
        <f aca="true" t="shared" si="5" ref="H45:O45">SUM(H41:H44)</f>
        <v>0</v>
      </c>
      <c r="I45" s="50">
        <f t="shared" si="5"/>
        <v>23956.552464765242</v>
      </c>
      <c r="J45" s="50">
        <f t="shared" si="5"/>
        <v>0</v>
      </c>
      <c r="K45" s="50">
        <f t="shared" si="5"/>
        <v>294008.45749999996</v>
      </c>
      <c r="L45" s="50">
        <f t="shared" si="5"/>
        <v>0</v>
      </c>
      <c r="M45" s="50">
        <f t="shared" si="5"/>
        <v>-0.16638000000966713</v>
      </c>
      <c r="N45" s="50">
        <f t="shared" si="5"/>
        <v>0</v>
      </c>
      <c r="O45" s="50">
        <f t="shared" si="5"/>
        <v>99251.89539323116</v>
      </c>
      <c r="Q45" s="10"/>
    </row>
    <row r="46" spans="3:17" ht="11.25">
      <c r="C46" s="125"/>
      <c r="D46" s="125"/>
      <c r="E46" s="125"/>
      <c r="F46" s="125"/>
      <c r="G46" s="9"/>
      <c r="I46" s="9"/>
      <c r="K46" s="127"/>
      <c r="M46" s="9"/>
      <c r="O46" s="9"/>
      <c r="Q46" s="10"/>
    </row>
    <row r="47" spans="3:18" ht="12" thickBot="1">
      <c r="C47" s="38" t="s">
        <v>45</v>
      </c>
      <c r="D47" s="126"/>
      <c r="E47" s="126"/>
      <c r="F47" s="126"/>
      <c r="G47" s="52">
        <f>G38+G45</f>
        <v>208028.33618686302</v>
      </c>
      <c r="H47" s="52">
        <f aca="true" t="shared" si="6" ref="H47:O47">H38+H45</f>
        <v>0</v>
      </c>
      <c r="I47" s="52">
        <f>I38+I45</f>
        <v>126570.19964490223</v>
      </c>
      <c r="J47" s="52">
        <f t="shared" si="6"/>
        <v>0</v>
      </c>
      <c r="K47" s="52">
        <f t="shared" si="6"/>
        <v>350008.45749999996</v>
      </c>
      <c r="L47" s="52">
        <f t="shared" si="6"/>
        <v>0</v>
      </c>
      <c r="M47" s="52">
        <f t="shared" si="6"/>
        <v>-10032.44242878083</v>
      </c>
      <c r="N47" s="52">
        <f t="shared" si="6"/>
        <v>0</v>
      </c>
      <c r="O47" s="52">
        <f t="shared" si="6"/>
        <v>674574.5509029846</v>
      </c>
      <c r="P47" s="3"/>
      <c r="Q47" s="10"/>
      <c r="R47" s="10"/>
    </row>
    <row r="48" spans="4:18" ht="12" thickTop="1">
      <c r="D48" s="125"/>
      <c r="E48" s="125"/>
      <c r="F48" s="125"/>
      <c r="G48" s="127"/>
      <c r="H48" s="127"/>
      <c r="I48" s="127"/>
      <c r="J48" s="127"/>
      <c r="K48" s="127"/>
      <c r="L48" s="127"/>
      <c r="M48" s="127"/>
      <c r="N48" s="127"/>
      <c r="O48" s="127"/>
      <c r="P48" s="3"/>
      <c r="R48" s="10"/>
    </row>
    <row r="49" spans="3:16" ht="11.25">
      <c r="C49" s="128"/>
      <c r="D49" s="128"/>
      <c r="E49" s="128"/>
      <c r="F49" s="128"/>
      <c r="G49" s="46"/>
      <c r="H49" s="3"/>
      <c r="I49" s="46"/>
      <c r="J49" s="3"/>
      <c r="K49" s="127"/>
      <c r="L49" s="3"/>
      <c r="M49" s="46"/>
      <c r="N49" s="3"/>
      <c r="O49" s="46"/>
      <c r="P49" s="3"/>
    </row>
    <row r="50" spans="7:16" ht="11.25">
      <c r="G50" s="3"/>
      <c r="H50" s="3"/>
      <c r="I50" s="3"/>
      <c r="J50" s="3"/>
      <c r="K50" s="127"/>
      <c r="L50" s="3"/>
      <c r="M50" s="3"/>
      <c r="N50" s="3"/>
      <c r="O50" s="3"/>
      <c r="P50" s="3"/>
    </row>
    <row r="51" spans="7:16" ht="11.25">
      <c r="G51" s="3"/>
      <c r="H51" s="3"/>
      <c r="I51" s="154"/>
      <c r="J51" s="3"/>
      <c r="K51" s="127"/>
      <c r="L51" s="3"/>
      <c r="M51" s="3"/>
      <c r="N51" s="3"/>
      <c r="O51" s="3"/>
      <c r="P51" s="3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R51"/>
  <sheetViews>
    <sheetView zoomScalePageLayoutView="0" workbookViewId="0" topLeftCell="A1">
      <pane xSplit="5" ySplit="9" topLeftCell="F10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G12" sqref="G12"/>
    </sheetView>
  </sheetViews>
  <sheetFormatPr defaultColWidth="9.140625" defaultRowHeight="12.75"/>
  <cols>
    <col min="1" max="1" width="1.57421875" style="2" customWidth="1"/>
    <col min="2" max="2" width="2.57421875" style="2" customWidth="1"/>
    <col min="3" max="3" width="2.8515625" style="2" customWidth="1"/>
    <col min="4" max="4" width="5.57421875" style="2" customWidth="1"/>
    <col min="5" max="5" width="22.421875" style="2" bestFit="1" customWidth="1"/>
    <col min="6" max="6" width="1.421875" style="2" customWidth="1"/>
    <col min="7" max="7" width="12.57421875" style="2" bestFit="1" customWidth="1"/>
    <col min="8" max="8" width="0.85546875" style="2" customWidth="1"/>
    <col min="9" max="9" width="12.57421875" style="2" bestFit="1" customWidth="1"/>
    <col min="10" max="10" width="0.85546875" style="2" customWidth="1"/>
    <col min="11" max="11" width="11.140625" style="67" customWidth="1"/>
    <col min="12" max="12" width="0.85546875" style="2" customWidth="1"/>
    <col min="13" max="13" width="11.57421875" style="2" bestFit="1" customWidth="1"/>
    <col min="14" max="14" width="0.85546875" style="2" customWidth="1"/>
    <col min="15" max="15" width="13.00390625" style="2" bestFit="1" customWidth="1"/>
    <col min="16" max="16" width="1.57421875" style="2" customWidth="1"/>
    <col min="17" max="16384" width="9.140625" style="2" customWidth="1"/>
  </cols>
  <sheetData>
    <row r="1" spans="1:16" ht="11.25">
      <c r="A1" s="212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1.25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1.25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11.25">
      <c r="A4" s="212">
        <v>2018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1.25">
      <c r="A5" s="212" t="s">
        <v>59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7" spans="7:9" ht="11.25" hidden="1">
      <c r="G7" s="11"/>
      <c r="I7" s="11"/>
    </row>
    <row r="8" spans="7:15" ht="11.25">
      <c r="G8" s="11"/>
      <c r="I8" s="11"/>
      <c r="K8" s="169"/>
      <c r="M8" s="11" t="s">
        <v>37</v>
      </c>
      <c r="O8" s="11"/>
    </row>
    <row r="9" spans="3:15" ht="11.25">
      <c r="C9" s="119"/>
      <c r="D9" s="119"/>
      <c r="E9" s="119"/>
      <c r="F9" s="119"/>
      <c r="G9" s="4" t="s">
        <v>104</v>
      </c>
      <c r="I9" s="4" t="s">
        <v>105</v>
      </c>
      <c r="K9" s="189" t="s">
        <v>106</v>
      </c>
      <c r="M9" s="4" t="s">
        <v>38</v>
      </c>
      <c r="N9" s="3"/>
      <c r="O9" s="4" t="s">
        <v>39</v>
      </c>
    </row>
    <row r="10" spans="3:15" ht="11.25">
      <c r="C10" s="119"/>
      <c r="D10" s="119"/>
      <c r="E10" s="119"/>
      <c r="F10" s="119"/>
      <c r="G10" s="7"/>
      <c r="M10" s="7"/>
      <c r="O10" s="7"/>
    </row>
    <row r="11" spans="2:15" ht="11.25">
      <c r="B11" s="5" t="s">
        <v>52</v>
      </c>
      <c r="G11" s="7"/>
      <c r="M11" s="7"/>
      <c r="O11" s="7"/>
    </row>
    <row r="12" spans="3:18" ht="11.25">
      <c r="C12" s="117" t="s">
        <v>0</v>
      </c>
      <c r="D12" s="117"/>
      <c r="E12" s="117"/>
      <c r="F12" s="117"/>
      <c r="G12" s="10">
        <f>'CF 2018'!G41</f>
        <v>-62219.22349938425</v>
      </c>
      <c r="H12" s="10">
        <f>'CF 2018'!H41</f>
        <v>0</v>
      </c>
      <c r="I12" s="10">
        <f>'CF 2018'!I41</f>
        <v>2166.508817615013</v>
      </c>
      <c r="J12" s="10">
        <f>'CF 2018'!J41</f>
        <v>0</v>
      </c>
      <c r="K12" s="10">
        <f>'CF 2018'!K41</f>
        <v>-4095.929166666667</v>
      </c>
      <c r="L12" s="10">
        <f>'CF 2018'!L41</f>
        <v>0</v>
      </c>
      <c r="M12" s="10">
        <f>'CF 2018'!M41</f>
        <v>-0.16638000000057218</v>
      </c>
      <c r="N12" s="10">
        <f>'CF 2018'!N41</f>
        <v>0</v>
      </c>
      <c r="O12" s="10">
        <f>'CF 2018'!O41</f>
        <v>-64148.810228435905</v>
      </c>
      <c r="R12" s="10"/>
    </row>
    <row r="13" spans="3:18" ht="11.25">
      <c r="C13" s="117" t="s">
        <v>26</v>
      </c>
      <c r="D13" s="117"/>
      <c r="E13" s="117"/>
      <c r="F13" s="117"/>
      <c r="G13" s="120">
        <v>137.12328767123287</v>
      </c>
      <c r="H13" s="121"/>
      <c r="I13" s="69">
        <v>7813.772052532192</v>
      </c>
      <c r="J13" s="121"/>
      <c r="K13" s="176">
        <v>0</v>
      </c>
      <c r="L13" s="121"/>
      <c r="M13" s="120">
        <v>0</v>
      </c>
      <c r="N13" s="121"/>
      <c r="O13" s="67">
        <v>7950.895340203425</v>
      </c>
      <c r="R13" s="10"/>
    </row>
    <row r="14" spans="3:18" ht="11.25">
      <c r="C14" s="117" t="s">
        <v>1</v>
      </c>
      <c r="D14" s="117"/>
      <c r="E14" s="117"/>
      <c r="F14" s="117"/>
      <c r="G14" s="120">
        <v>3000</v>
      </c>
      <c r="H14" s="121"/>
      <c r="I14" s="69">
        <v>4878.432794286986</v>
      </c>
      <c r="J14" s="121"/>
      <c r="K14" s="176">
        <v>0</v>
      </c>
      <c r="L14" s="121"/>
      <c r="M14" s="120">
        <v>-7878.432794286986</v>
      </c>
      <c r="N14" s="121"/>
      <c r="O14" s="67">
        <v>0</v>
      </c>
      <c r="R14" s="10"/>
    </row>
    <row r="15" spans="3:18" ht="11.25">
      <c r="C15" s="117" t="s">
        <v>27</v>
      </c>
      <c r="D15" s="117"/>
      <c r="E15" s="117"/>
      <c r="F15" s="117"/>
      <c r="G15" s="120">
        <v>1546.14192</v>
      </c>
      <c r="H15" s="121"/>
      <c r="I15" s="69">
        <v>21739.10268</v>
      </c>
      <c r="J15" s="121"/>
      <c r="K15" s="176">
        <v>0</v>
      </c>
      <c r="L15" s="121"/>
      <c r="M15" s="120">
        <v>0</v>
      </c>
      <c r="N15" s="121"/>
      <c r="O15" s="67">
        <v>23285.244599999998</v>
      </c>
      <c r="R15" s="10"/>
    </row>
    <row r="16" spans="3:18" ht="11.25">
      <c r="C16" s="117" t="s">
        <v>28</v>
      </c>
      <c r="D16" s="117"/>
      <c r="E16" s="117"/>
      <c r="F16" s="117"/>
      <c r="G16" s="120">
        <v>7389.43784</v>
      </c>
      <c r="H16" s="121"/>
      <c r="I16" s="69">
        <v>16651.099789999997</v>
      </c>
      <c r="J16" s="121"/>
      <c r="K16" s="176">
        <v>0</v>
      </c>
      <c r="L16" s="121"/>
      <c r="M16" s="120">
        <v>0</v>
      </c>
      <c r="N16" s="121"/>
      <c r="O16" s="67">
        <v>24040.537629999995</v>
      </c>
      <c r="R16" s="10"/>
    </row>
    <row r="17" spans="4:18" ht="11.25">
      <c r="D17" s="38" t="s">
        <v>50</v>
      </c>
      <c r="E17" s="38"/>
      <c r="F17" s="38"/>
      <c r="G17" s="56">
        <f>SUM(G12:G16)</f>
        <v>-50146.52045171302</v>
      </c>
      <c r="H17" s="56">
        <f aca="true" t="shared" si="0" ref="H17:M17">SUM(H12:H16)</f>
        <v>0</v>
      </c>
      <c r="I17" s="56">
        <f t="shared" si="0"/>
        <v>53248.916134434185</v>
      </c>
      <c r="J17" s="56">
        <f t="shared" si="0"/>
        <v>0</v>
      </c>
      <c r="K17" s="56">
        <f t="shared" si="0"/>
        <v>-4095.929166666667</v>
      </c>
      <c r="L17" s="56">
        <f t="shared" si="0"/>
        <v>0</v>
      </c>
      <c r="M17" s="56">
        <f t="shared" si="0"/>
        <v>-7878.599174286986</v>
      </c>
      <c r="N17" s="121"/>
      <c r="O17" s="56">
        <f>SUM(O12:O16)</f>
        <v>-8872.132658232487</v>
      </c>
      <c r="R17" s="10"/>
    </row>
    <row r="18" spans="7:18" ht="11.25">
      <c r="G18" s="122"/>
      <c r="H18" s="121"/>
      <c r="I18" s="122"/>
      <c r="J18" s="121"/>
      <c r="K18" s="176"/>
      <c r="L18" s="121"/>
      <c r="M18" s="122"/>
      <c r="N18" s="121"/>
      <c r="O18" s="122"/>
      <c r="R18" s="10"/>
    </row>
    <row r="19" spans="2:18" ht="11.25">
      <c r="B19" s="116" t="s">
        <v>54</v>
      </c>
      <c r="G19" s="120">
        <v>23728.33750000001</v>
      </c>
      <c r="H19" s="121"/>
      <c r="I19" s="69">
        <v>54706.424999999996</v>
      </c>
      <c r="J19" s="121"/>
      <c r="K19" s="176">
        <v>0</v>
      </c>
      <c r="L19" s="121"/>
      <c r="M19" s="120">
        <v>0</v>
      </c>
      <c r="N19" s="121"/>
      <c r="O19" s="67">
        <v>78434.76250000001</v>
      </c>
      <c r="R19" s="10"/>
    </row>
    <row r="20" spans="2:18" ht="11.25">
      <c r="B20" s="116" t="s">
        <v>55</v>
      </c>
      <c r="G20" s="120">
        <v>185819.23999999996</v>
      </c>
      <c r="H20" s="121"/>
      <c r="I20" s="69">
        <v>2729.9399999999987</v>
      </c>
      <c r="J20" s="121"/>
      <c r="K20" s="176">
        <v>0</v>
      </c>
      <c r="L20" s="121"/>
      <c r="M20" s="120">
        <v>0</v>
      </c>
      <c r="N20" s="121"/>
      <c r="O20" s="67">
        <v>188549.17999999996</v>
      </c>
      <c r="R20" s="10"/>
    </row>
    <row r="21" spans="2:18" ht="11.25">
      <c r="B21" s="2" t="s">
        <v>43</v>
      </c>
      <c r="G21" s="120">
        <v>9215.69715</v>
      </c>
      <c r="H21" s="121"/>
      <c r="I21" s="69">
        <v>5554.18838</v>
      </c>
      <c r="J21" s="121"/>
      <c r="K21" s="176">
        <v>0</v>
      </c>
      <c r="L21" s="121"/>
      <c r="M21" s="120">
        <v>0</v>
      </c>
      <c r="N21" s="121"/>
      <c r="O21" s="67">
        <v>14769.88553</v>
      </c>
      <c r="R21" s="10"/>
    </row>
    <row r="22" spans="2:18" ht="11.25">
      <c r="B22" s="2" t="s">
        <v>56</v>
      </c>
      <c r="G22" s="120">
        <v>1065.51363</v>
      </c>
      <c r="H22" s="121"/>
      <c r="I22" s="69">
        <v>3023.54739</v>
      </c>
      <c r="J22" s="121"/>
      <c r="K22" s="176">
        <v>350000</v>
      </c>
      <c r="L22" s="121"/>
      <c r="M22" s="120">
        <v>0</v>
      </c>
      <c r="N22" s="121"/>
      <c r="O22" s="67">
        <v>354089.06102</v>
      </c>
      <c r="R22" s="10"/>
    </row>
    <row r="23" spans="3:18" ht="12" thickBot="1">
      <c r="C23" s="38" t="s">
        <v>51</v>
      </c>
      <c r="G23" s="45">
        <f>SUM(G17:G22)</f>
        <v>169682.26782828695</v>
      </c>
      <c r="H23" s="45">
        <f aca="true" t="shared" si="1" ref="H23:M23">SUM(H17:H22)</f>
        <v>0</v>
      </c>
      <c r="I23" s="45">
        <f t="shared" si="1"/>
        <v>119263.0169044342</v>
      </c>
      <c r="J23" s="45">
        <f t="shared" si="1"/>
        <v>0</v>
      </c>
      <c r="K23" s="45">
        <f t="shared" si="1"/>
        <v>345904.07083333336</v>
      </c>
      <c r="L23" s="45">
        <f t="shared" si="1"/>
        <v>0</v>
      </c>
      <c r="M23" s="45">
        <f t="shared" si="1"/>
        <v>-7878.599174286986</v>
      </c>
      <c r="N23" s="121"/>
      <c r="O23" s="45">
        <f>O17+SUM(O19:O22)</f>
        <v>626970.7563917675</v>
      </c>
      <c r="Q23" s="13"/>
      <c r="R23" s="10"/>
    </row>
    <row r="24" spans="7:18" ht="12" thickTop="1">
      <c r="G24" s="120"/>
      <c r="H24" s="121"/>
      <c r="I24" s="120"/>
      <c r="J24" s="121"/>
      <c r="K24" s="176"/>
      <c r="L24" s="121"/>
      <c r="M24" s="120"/>
      <c r="N24" s="121"/>
      <c r="O24" s="120"/>
      <c r="R24" s="10"/>
    </row>
    <row r="25" spans="2:18" ht="11.25">
      <c r="B25" s="5" t="s">
        <v>60</v>
      </c>
      <c r="D25" s="5"/>
      <c r="E25" s="5"/>
      <c r="F25" s="5"/>
      <c r="G25" s="120"/>
      <c r="H25" s="121"/>
      <c r="I25" s="120"/>
      <c r="J25" s="121"/>
      <c r="K25" s="176"/>
      <c r="L25" s="121"/>
      <c r="M25" s="120"/>
      <c r="N25" s="121"/>
      <c r="O25" s="120"/>
      <c r="R25" s="10"/>
    </row>
    <row r="26" spans="3:18" ht="11.25">
      <c r="C26" s="117" t="s">
        <v>44</v>
      </c>
      <c r="D26" s="37"/>
      <c r="E26" s="37"/>
      <c r="F26" s="37"/>
      <c r="G26" s="123">
        <v>906.8548199999999</v>
      </c>
      <c r="H26" s="123"/>
      <c r="I26" s="69">
        <v>8440.27382</v>
      </c>
      <c r="J26" s="123"/>
      <c r="K26" s="176">
        <v>0</v>
      </c>
      <c r="L26" s="123"/>
      <c r="M26" s="123">
        <v>0</v>
      </c>
      <c r="N26" s="123"/>
      <c r="O26" s="124">
        <v>9347.12864</v>
      </c>
      <c r="R26" s="10"/>
    </row>
    <row r="27" spans="3:18" ht="11.25">
      <c r="C27" s="117" t="s">
        <v>2</v>
      </c>
      <c r="D27" s="37"/>
      <c r="E27" s="37"/>
      <c r="F27" s="37"/>
      <c r="G27" s="120">
        <v>4878.432794286986</v>
      </c>
      <c r="H27" s="121"/>
      <c r="I27" s="69">
        <v>3000</v>
      </c>
      <c r="J27" s="121"/>
      <c r="K27" s="176">
        <v>0</v>
      </c>
      <c r="L27" s="121"/>
      <c r="M27" s="120">
        <v>-7878.432794286986</v>
      </c>
      <c r="N27" s="121"/>
      <c r="O27" s="67">
        <v>0</v>
      </c>
      <c r="R27" s="10"/>
    </row>
    <row r="28" spans="3:18" ht="11.25">
      <c r="C28" s="117" t="s">
        <v>57</v>
      </c>
      <c r="D28" s="37"/>
      <c r="E28" s="37"/>
      <c r="F28" s="37"/>
      <c r="G28" s="120">
        <v>12318.721597479449</v>
      </c>
      <c r="H28" s="121"/>
      <c r="I28" s="69">
        <v>3207.48438</v>
      </c>
      <c r="J28" s="121"/>
      <c r="K28" s="176">
        <v>0</v>
      </c>
      <c r="L28" s="121"/>
      <c r="M28" s="120">
        <v>0</v>
      </c>
      <c r="N28" s="121"/>
      <c r="O28" s="67">
        <v>15526.205977479449</v>
      </c>
      <c r="R28" s="10"/>
    </row>
    <row r="29" spans="3:18" ht="11.25">
      <c r="C29" s="117" t="s">
        <v>3</v>
      </c>
      <c r="D29" s="37"/>
      <c r="E29" s="37"/>
      <c r="F29" s="37"/>
      <c r="G29" s="120">
        <v>692.0846700000001</v>
      </c>
      <c r="H29" s="121"/>
      <c r="I29" s="69">
        <v>5474.75291</v>
      </c>
      <c r="J29" s="121"/>
      <c r="K29" s="176">
        <v>0</v>
      </c>
      <c r="L29" s="121"/>
      <c r="M29" s="120">
        <v>0</v>
      </c>
      <c r="N29" s="121"/>
      <c r="O29" s="67">
        <v>6166.83758</v>
      </c>
      <c r="R29" s="10"/>
    </row>
    <row r="30" spans="3:18" ht="11.25">
      <c r="C30" s="117" t="s">
        <v>58</v>
      </c>
      <c r="D30" s="37"/>
      <c r="E30" s="37"/>
      <c r="F30" s="37"/>
      <c r="G30" s="120">
        <v>6247.379980000001</v>
      </c>
      <c r="H30" s="121"/>
      <c r="I30" s="69">
        <v>4152.90534</v>
      </c>
      <c r="J30" s="121"/>
      <c r="K30" s="176">
        <v>0</v>
      </c>
      <c r="L30" s="121"/>
      <c r="M30" s="120">
        <v>0</v>
      </c>
      <c r="N30" s="121"/>
      <c r="O30" s="67">
        <v>10400.28532</v>
      </c>
      <c r="R30" s="10"/>
    </row>
    <row r="31" spans="3:18" ht="11.25">
      <c r="C31" s="117" t="s">
        <v>95</v>
      </c>
      <c r="D31" s="37"/>
      <c r="E31" s="37"/>
      <c r="F31" s="37"/>
      <c r="G31" s="120">
        <v>0</v>
      </c>
      <c r="H31" s="121"/>
      <c r="I31" s="153">
        <v>0</v>
      </c>
      <c r="J31" s="121"/>
      <c r="K31" s="176">
        <f>'MLC Revolver'!AH8</f>
        <v>30000</v>
      </c>
      <c r="L31" s="121"/>
      <c r="M31" s="120">
        <v>0</v>
      </c>
      <c r="N31" s="121"/>
      <c r="O31" s="67">
        <v>30000</v>
      </c>
      <c r="R31" s="10"/>
    </row>
    <row r="32" spans="3:18" ht="11.25">
      <c r="C32" s="117" t="s">
        <v>80</v>
      </c>
      <c r="D32" s="37"/>
      <c r="E32" s="37"/>
      <c r="F32" s="37"/>
      <c r="G32" s="120">
        <v>16666.666</v>
      </c>
      <c r="H32" s="121"/>
      <c r="I32" s="69">
        <v>8000</v>
      </c>
      <c r="J32" s="121"/>
      <c r="K32" s="176">
        <v>4000</v>
      </c>
      <c r="L32" s="121"/>
      <c r="M32" s="120">
        <v>0</v>
      </c>
      <c r="N32" s="121"/>
      <c r="O32" s="67">
        <v>28666.666</v>
      </c>
      <c r="R32" s="10"/>
    </row>
    <row r="33" spans="4:18" ht="12">
      <c r="D33" s="38" t="s">
        <v>61</v>
      </c>
      <c r="E33" s="51"/>
      <c r="F33" s="51"/>
      <c r="G33" s="56">
        <f>SUM(G26:G32)</f>
        <v>41710.13986176644</v>
      </c>
      <c r="H33" s="56">
        <f aca="true" t="shared" si="2" ref="H33:O33">SUM(H26:H32)</f>
        <v>0</v>
      </c>
      <c r="I33" s="56">
        <f t="shared" si="2"/>
        <v>32275.41645</v>
      </c>
      <c r="J33" s="56">
        <f t="shared" si="2"/>
        <v>0</v>
      </c>
      <c r="K33" s="56">
        <f t="shared" si="2"/>
        <v>34000</v>
      </c>
      <c r="L33" s="56">
        <f t="shared" si="2"/>
        <v>0</v>
      </c>
      <c r="M33" s="56">
        <f t="shared" si="2"/>
        <v>-7878.432794286986</v>
      </c>
      <c r="N33" s="56">
        <f t="shared" si="2"/>
        <v>0</v>
      </c>
      <c r="O33" s="56">
        <f t="shared" si="2"/>
        <v>100107.12351747946</v>
      </c>
      <c r="R33" s="10"/>
    </row>
    <row r="34" spans="7:18" ht="11.25">
      <c r="G34" s="120"/>
      <c r="H34" s="121"/>
      <c r="I34" s="120"/>
      <c r="J34" s="121"/>
      <c r="K34" s="176"/>
      <c r="L34" s="121"/>
      <c r="M34" s="120"/>
      <c r="N34" s="121"/>
      <c r="O34" s="120"/>
      <c r="R34" s="10"/>
    </row>
    <row r="35" spans="2:18" ht="11.25">
      <c r="B35" s="2" t="s">
        <v>4</v>
      </c>
      <c r="G35" s="120">
        <v>366666.6719999998</v>
      </c>
      <c r="H35" s="121"/>
      <c r="I35" s="69">
        <v>40000</v>
      </c>
      <c r="J35" s="121"/>
      <c r="K35" s="176">
        <v>24000</v>
      </c>
      <c r="L35" s="121"/>
      <c r="M35" s="120">
        <v>0</v>
      </c>
      <c r="N35" s="121"/>
      <c r="O35" s="67">
        <v>430666.6719999998</v>
      </c>
      <c r="Q35" s="203"/>
      <c r="R35" s="10"/>
    </row>
    <row r="36" spans="2:18" ht="11.25">
      <c r="B36" s="2" t="s">
        <v>5</v>
      </c>
      <c r="G36" s="120">
        <v>133.461</v>
      </c>
      <c r="H36" s="121"/>
      <c r="I36" s="69">
        <v>18237.24444</v>
      </c>
      <c r="J36" s="121"/>
      <c r="K36" s="176">
        <v>0</v>
      </c>
      <c r="L36" s="121"/>
      <c r="M36" s="120">
        <v>0</v>
      </c>
      <c r="N36" s="121"/>
      <c r="O36" s="67">
        <v>18370.705439999998</v>
      </c>
      <c r="R36" s="10"/>
    </row>
    <row r="37" spans="2:18" ht="11.25">
      <c r="B37" s="2" t="s">
        <v>6</v>
      </c>
      <c r="G37" s="120">
        <v>0</v>
      </c>
      <c r="H37" s="121"/>
      <c r="I37" s="69">
        <v>2987.28766</v>
      </c>
      <c r="J37" s="121"/>
      <c r="K37" s="176">
        <v>0</v>
      </c>
      <c r="L37" s="121"/>
      <c r="M37" s="120">
        <v>0</v>
      </c>
      <c r="N37" s="121"/>
      <c r="O37" s="67">
        <v>2987.28766</v>
      </c>
      <c r="R37" s="10"/>
    </row>
    <row r="38" spans="5:18" ht="11.25">
      <c r="E38" s="38" t="s">
        <v>49</v>
      </c>
      <c r="F38" s="38"/>
      <c r="G38" s="50">
        <f>SUM(G33:G37)</f>
        <v>408510.2728617662</v>
      </c>
      <c r="H38" s="50">
        <f aca="true" t="shared" si="3" ref="H38:O38">SUM(H33:H37)</f>
        <v>0</v>
      </c>
      <c r="I38" s="50">
        <f t="shared" si="3"/>
        <v>93499.94855</v>
      </c>
      <c r="J38" s="50">
        <f t="shared" si="3"/>
        <v>0</v>
      </c>
      <c r="K38" s="50">
        <f t="shared" si="3"/>
        <v>58000</v>
      </c>
      <c r="L38" s="50">
        <f t="shared" si="3"/>
        <v>0</v>
      </c>
      <c r="M38" s="50">
        <f t="shared" si="3"/>
        <v>-7878.432794286986</v>
      </c>
      <c r="N38" s="50">
        <f t="shared" si="3"/>
        <v>0</v>
      </c>
      <c r="O38" s="50">
        <f t="shared" si="3"/>
        <v>552131.7886174794</v>
      </c>
      <c r="R38" s="10"/>
    </row>
    <row r="39" spans="3:18" ht="11.25">
      <c r="C39" s="125"/>
      <c r="D39" s="125"/>
      <c r="E39" s="125"/>
      <c r="F39" s="125"/>
      <c r="G39" s="9"/>
      <c r="I39" s="9"/>
      <c r="M39" s="9"/>
      <c r="O39" s="9"/>
      <c r="R39" s="10"/>
    </row>
    <row r="40" spans="2:18" ht="11.25">
      <c r="B40" s="5" t="s">
        <v>62</v>
      </c>
      <c r="D40" s="5"/>
      <c r="E40" s="5"/>
      <c r="F40" s="5"/>
      <c r="G40" s="7"/>
      <c r="I40" s="7"/>
      <c r="M40" s="7"/>
      <c r="O40" s="7"/>
      <c r="R40" s="10"/>
    </row>
    <row r="41" spans="3:18" ht="11.25">
      <c r="C41" s="2" t="s">
        <v>7</v>
      </c>
      <c r="G41" s="7">
        <v>0</v>
      </c>
      <c r="I41" s="69">
        <v>7.501</v>
      </c>
      <c r="K41" s="67">
        <v>0</v>
      </c>
      <c r="M41" s="7">
        <v>-8.5</v>
      </c>
      <c r="O41" s="67">
        <v>-0.9989999999999997</v>
      </c>
      <c r="R41" s="10"/>
    </row>
    <row r="42" spans="3:18" ht="11.25">
      <c r="C42" s="2" t="s">
        <v>46</v>
      </c>
      <c r="G42" s="7">
        <v>179838.18584</v>
      </c>
      <c r="I42" s="69">
        <v>222292.427</v>
      </c>
      <c r="K42" s="67">
        <v>308000</v>
      </c>
      <c r="M42" s="7">
        <v>-251285.86894</v>
      </c>
      <c r="O42" s="67">
        <v>458844.7439</v>
      </c>
      <c r="R42" s="10"/>
    </row>
    <row r="43" spans="3:18" ht="11.25">
      <c r="C43" s="2" t="s">
        <v>8</v>
      </c>
      <c r="G43" s="7">
        <f>SUM('BS - 12-31-17'!G43:G44)</f>
        <v>-398551.1340315341</v>
      </c>
      <c r="H43" s="7">
        <f>SUM('BS - 12-31-17'!H43:H44)</f>
        <v>0</v>
      </c>
      <c r="I43" s="7">
        <f>SUM('BS - 12-31-17'!I43:I44)</f>
        <v>-198343.37553523475</v>
      </c>
      <c r="J43" s="7">
        <f>SUM('BS - 12-31-17'!J43:J44)</f>
        <v>0</v>
      </c>
      <c r="K43" s="7">
        <f>SUM('BS - 12-31-17'!K43:K44)</f>
        <v>-13991.5425</v>
      </c>
      <c r="L43" s="7">
        <f>SUM('BS - 12-31-17'!L43:L44)</f>
        <v>0</v>
      </c>
      <c r="M43" s="7">
        <f>SUM('BS - 12-31-17'!M43:M44)</f>
        <v>251294.20255999998</v>
      </c>
      <c r="N43" s="7">
        <f>SUM('BS - 12-31-17'!N43:N44)</f>
        <v>0</v>
      </c>
      <c r="O43" s="7">
        <f>SUM('BS - 12-31-17'!O43:O44)</f>
        <v>-359591.84950676886</v>
      </c>
      <c r="R43" s="10"/>
    </row>
    <row r="44" spans="3:18" ht="11.25">
      <c r="C44" s="2" t="s">
        <v>47</v>
      </c>
      <c r="G44" s="7">
        <f>'IS - 2018'!E35</f>
        <v>-20115.054341945197</v>
      </c>
      <c r="H44" s="7">
        <f>'IS - 2018'!F35</f>
        <v>0</v>
      </c>
      <c r="I44" s="7">
        <f>'IS - 2018'!G35</f>
        <v>1806.5108896689699</v>
      </c>
      <c r="J44" s="7">
        <f>'IS - 2018'!H35</f>
        <v>0</v>
      </c>
      <c r="K44" s="7">
        <f>'IS - 2018'!I35</f>
        <v>-6104.386666666667</v>
      </c>
      <c r="L44" s="7">
        <f>'IS - 2018'!J35</f>
        <v>0</v>
      </c>
      <c r="M44" s="7">
        <f>'IS - 2018'!K35</f>
        <v>0</v>
      </c>
      <c r="N44" s="7">
        <f>'IS - 2018'!L35</f>
        <v>0</v>
      </c>
      <c r="O44" s="7">
        <f>'IS - 2018'!M35</f>
        <v>-24412.930118942895</v>
      </c>
      <c r="R44" s="10"/>
    </row>
    <row r="45" spans="5:18" ht="11.25">
      <c r="E45" s="38" t="s">
        <v>48</v>
      </c>
      <c r="F45" s="38"/>
      <c r="G45" s="50">
        <f aca="true" t="shared" si="4" ref="G45:L45">SUM(G41:G44)</f>
        <v>-238828.00253347927</v>
      </c>
      <c r="H45" s="50">
        <f t="shared" si="4"/>
        <v>0</v>
      </c>
      <c r="I45" s="50">
        <f t="shared" si="4"/>
        <v>25763.063354434205</v>
      </c>
      <c r="J45" s="50">
        <f t="shared" si="4"/>
        <v>0</v>
      </c>
      <c r="K45" s="50">
        <f t="shared" si="4"/>
        <v>287904.07083333336</v>
      </c>
      <c r="L45" s="50">
        <f t="shared" si="4"/>
        <v>0</v>
      </c>
      <c r="M45" s="50">
        <f>SUM(M41:M44)</f>
        <v>-0.16638000000966713</v>
      </c>
      <c r="N45" s="5"/>
      <c r="O45" s="50">
        <f>SUM(O41:O44)</f>
        <v>74838.96527428823</v>
      </c>
      <c r="R45" s="10"/>
    </row>
    <row r="46" spans="3:18" ht="11.25">
      <c r="C46" s="125"/>
      <c r="D46" s="125"/>
      <c r="E46" s="125"/>
      <c r="F46" s="125"/>
      <c r="G46" s="9"/>
      <c r="I46" s="9"/>
      <c r="K46" s="127"/>
      <c r="M46" s="9"/>
      <c r="O46" s="9"/>
      <c r="R46" s="10"/>
    </row>
    <row r="47" spans="3:18" ht="12" thickBot="1">
      <c r="C47" s="38" t="s">
        <v>45</v>
      </c>
      <c r="D47" s="126"/>
      <c r="E47" s="126"/>
      <c r="F47" s="126"/>
      <c r="G47" s="52">
        <f>G38+G45</f>
        <v>169682.27032828695</v>
      </c>
      <c r="H47" s="52">
        <f aca="true" t="shared" si="5" ref="H47:O47">H38+H45</f>
        <v>0</v>
      </c>
      <c r="I47" s="52">
        <f t="shared" si="5"/>
        <v>119263.01190443421</v>
      </c>
      <c r="J47" s="52">
        <f t="shared" si="5"/>
        <v>0</v>
      </c>
      <c r="K47" s="52">
        <f t="shared" si="5"/>
        <v>345904.07083333336</v>
      </c>
      <c r="L47" s="52">
        <f t="shared" si="5"/>
        <v>0</v>
      </c>
      <c r="M47" s="52">
        <f t="shared" si="5"/>
        <v>-7878.599174286996</v>
      </c>
      <c r="N47" s="52">
        <f t="shared" si="5"/>
        <v>0</v>
      </c>
      <c r="O47" s="52">
        <f t="shared" si="5"/>
        <v>626970.7538917676</v>
      </c>
      <c r="P47" s="3"/>
      <c r="R47" s="10"/>
    </row>
    <row r="48" spans="4:16" ht="12" thickTop="1">
      <c r="D48" s="125"/>
      <c r="E48" s="125"/>
      <c r="F48" s="125"/>
      <c r="G48" s="127"/>
      <c r="H48" s="127"/>
      <c r="I48" s="127"/>
      <c r="J48" s="127"/>
      <c r="K48" s="127"/>
      <c r="L48" s="127"/>
      <c r="M48" s="127"/>
      <c r="N48" s="127"/>
      <c r="O48" s="127"/>
      <c r="P48" s="3"/>
    </row>
    <row r="49" spans="3:17" ht="11.25">
      <c r="C49" s="128"/>
      <c r="D49" s="128"/>
      <c r="E49" s="128"/>
      <c r="F49" s="128"/>
      <c r="G49" s="46"/>
      <c r="H49" s="46"/>
      <c r="I49" s="46"/>
      <c r="J49" s="46"/>
      <c r="K49" s="46"/>
      <c r="L49" s="46"/>
      <c r="M49" s="46"/>
      <c r="N49" s="46"/>
      <c r="O49" s="46"/>
      <c r="P49" s="3"/>
      <c r="Q49" s="13"/>
    </row>
    <row r="50" spans="7:16" ht="11.25">
      <c r="G50" s="3"/>
      <c r="H50" s="3"/>
      <c r="I50" s="3"/>
      <c r="J50" s="3"/>
      <c r="K50" s="127"/>
      <c r="L50" s="3"/>
      <c r="M50" s="3"/>
      <c r="N50" s="3"/>
      <c r="O50" s="3"/>
      <c r="P50" s="3"/>
    </row>
    <row r="51" spans="7:16" ht="11.25">
      <c r="G51" s="3"/>
      <c r="H51" s="3"/>
      <c r="I51" s="3"/>
      <c r="J51" s="3"/>
      <c r="K51" s="127"/>
      <c r="L51" s="3"/>
      <c r="M51" s="3"/>
      <c r="N51" s="3"/>
      <c r="O51" s="3"/>
      <c r="P51" s="3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51"/>
  <sheetViews>
    <sheetView tabSelected="1" zoomScalePageLayoutView="0" workbookViewId="0" topLeftCell="A1">
      <pane xSplit="5" ySplit="9" topLeftCell="F10" activePane="bottomRight" state="frozen"/>
      <selection pane="topLeft" activeCell="B4" sqref="B4:M4"/>
      <selection pane="topRight" activeCell="B4" sqref="B4:M4"/>
      <selection pane="bottomLeft" activeCell="B4" sqref="B4:M4"/>
      <selection pane="bottomRight" activeCell="O15" sqref="O15"/>
    </sheetView>
  </sheetViews>
  <sheetFormatPr defaultColWidth="9.140625" defaultRowHeight="12.75"/>
  <cols>
    <col min="1" max="1" width="1.57421875" style="2" customWidth="1"/>
    <col min="2" max="2" width="2.57421875" style="2" customWidth="1"/>
    <col min="3" max="3" width="2.8515625" style="2" customWidth="1"/>
    <col min="4" max="4" width="5.57421875" style="2" customWidth="1"/>
    <col min="5" max="5" width="22.421875" style="2" bestFit="1" customWidth="1"/>
    <col min="6" max="6" width="1.421875" style="2" customWidth="1"/>
    <col min="7" max="7" width="12.57421875" style="2" bestFit="1" customWidth="1"/>
    <col min="8" max="8" width="0.85546875" style="2" customWidth="1"/>
    <col min="9" max="9" width="12.57421875" style="2" bestFit="1" customWidth="1"/>
    <col min="10" max="10" width="0.85546875" style="2" customWidth="1"/>
    <col min="11" max="11" width="11.140625" style="67" customWidth="1"/>
    <col min="12" max="12" width="0.85546875" style="2" customWidth="1"/>
    <col min="13" max="13" width="11.57421875" style="2" bestFit="1" customWidth="1"/>
    <col min="14" max="14" width="0.85546875" style="2" customWidth="1"/>
    <col min="15" max="15" width="12.57421875" style="2" bestFit="1" customWidth="1"/>
    <col min="16" max="16" width="1.57421875" style="2" customWidth="1"/>
    <col min="17" max="16384" width="9.140625" style="2" customWidth="1"/>
  </cols>
  <sheetData>
    <row r="1" spans="1:16" ht="11.25">
      <c r="A1" s="212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1.25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1.25">
      <c r="A3" s="212" t="s">
        <v>90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11.25">
      <c r="A4" s="215" t="s">
        <v>124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1.25">
      <c r="A5" s="212" t="s">
        <v>59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7" spans="7:9" ht="11.25" hidden="1">
      <c r="G7" s="11"/>
      <c r="I7" s="11"/>
    </row>
    <row r="8" spans="7:15" ht="11.25">
      <c r="G8" s="11"/>
      <c r="I8" s="11"/>
      <c r="K8" s="169"/>
      <c r="M8" s="11" t="s">
        <v>37</v>
      </c>
      <c r="O8" s="11"/>
    </row>
    <row r="9" spans="3:15" ht="11.25">
      <c r="C9" s="119"/>
      <c r="D9" s="119"/>
      <c r="E9" s="119"/>
      <c r="F9" s="119"/>
      <c r="G9" s="4" t="s">
        <v>104</v>
      </c>
      <c r="I9" s="4" t="s">
        <v>105</v>
      </c>
      <c r="K9" s="188" t="s">
        <v>106</v>
      </c>
      <c r="M9" s="4" t="s">
        <v>38</v>
      </c>
      <c r="N9" s="3"/>
      <c r="O9" s="4" t="s">
        <v>39</v>
      </c>
    </row>
    <row r="10" spans="3:15" ht="11.25">
      <c r="C10" s="119"/>
      <c r="D10" s="119"/>
      <c r="E10" s="119"/>
      <c r="F10" s="119"/>
      <c r="G10" s="7"/>
      <c r="M10" s="7"/>
      <c r="O10" s="7"/>
    </row>
    <row r="11" spans="2:15" ht="11.25">
      <c r="B11" s="5" t="s">
        <v>52</v>
      </c>
      <c r="G11" s="7"/>
      <c r="M11" s="7"/>
      <c r="O11" s="7"/>
    </row>
    <row r="12" spans="3:15" ht="11.25">
      <c r="C12" s="117" t="s">
        <v>0</v>
      </c>
      <c r="D12" s="117"/>
      <c r="E12" s="117"/>
      <c r="F12" s="117"/>
      <c r="G12" s="10">
        <f>'CF 9-30-19'!G41</f>
        <v>-94268.10466938905</v>
      </c>
      <c r="H12" s="10">
        <f>'CF 9-30-19'!H41</f>
        <v>0</v>
      </c>
      <c r="I12" s="10">
        <f>'CF 9-30-19'!I41</f>
        <v>-4764.535965044407</v>
      </c>
      <c r="J12" s="10">
        <f>'CF 9-30-19'!J41</f>
        <v>0</v>
      </c>
      <c r="K12" s="10">
        <f>'CF 9-30-19'!K41</f>
        <v>8621.754166666668</v>
      </c>
      <c r="L12" s="10">
        <f>'CF 9-30-19'!L41</f>
        <v>0</v>
      </c>
      <c r="M12" s="10">
        <f>'CF 9-30-19'!M41</f>
        <v>-0.16638000000057218</v>
      </c>
      <c r="N12" s="10">
        <f>'CF 9-30-19'!N41</f>
        <v>0</v>
      </c>
      <c r="O12" s="10">
        <f aca="true" t="shared" si="0" ref="O12:O17">SUM(G12:M12)</f>
        <v>-90411.05284776678</v>
      </c>
    </row>
    <row r="13" spans="3:15" ht="11.25">
      <c r="C13" s="117" t="s">
        <v>26</v>
      </c>
      <c r="D13" s="117"/>
      <c r="E13" s="117"/>
      <c r="F13" s="117"/>
      <c r="G13" s="120">
        <v>5081</v>
      </c>
      <c r="H13" s="121"/>
      <c r="I13" s="69">
        <v>5996.082593741198</v>
      </c>
      <c r="J13" s="121"/>
      <c r="K13" s="176">
        <v>0</v>
      </c>
      <c r="L13" s="121"/>
      <c r="M13" s="120">
        <v>0</v>
      </c>
      <c r="N13" s="121"/>
      <c r="O13" s="67">
        <f t="shared" si="0"/>
        <v>11077.082593741197</v>
      </c>
    </row>
    <row r="14" spans="3:15" ht="11.25">
      <c r="C14" s="117" t="s">
        <v>1</v>
      </c>
      <c r="D14" s="117"/>
      <c r="E14" s="117"/>
      <c r="F14" s="117"/>
      <c r="G14" s="120">
        <v>3561.6438356164385</v>
      </c>
      <c r="H14" s="121"/>
      <c r="I14" s="69">
        <v>5244.3030864465745</v>
      </c>
      <c r="J14" s="121"/>
      <c r="K14" s="176">
        <v>0</v>
      </c>
      <c r="L14" s="121"/>
      <c r="M14" s="120">
        <v>-8805.946922063013</v>
      </c>
      <c r="N14" s="121"/>
      <c r="O14" s="67">
        <f t="shared" si="0"/>
        <v>0</v>
      </c>
    </row>
    <row r="15" spans="3:15" ht="11.25">
      <c r="C15" s="117" t="s">
        <v>27</v>
      </c>
      <c r="D15" s="117"/>
      <c r="E15" s="117"/>
      <c r="F15" s="117"/>
      <c r="G15" s="120">
        <v>1546.14192</v>
      </c>
      <c r="H15" s="121"/>
      <c r="I15" s="69">
        <v>21739.10268</v>
      </c>
      <c r="J15" s="121"/>
      <c r="K15" s="176">
        <v>0</v>
      </c>
      <c r="L15" s="121"/>
      <c r="M15" s="120">
        <v>0</v>
      </c>
      <c r="N15" s="121"/>
      <c r="O15" s="67">
        <f t="shared" si="0"/>
        <v>23285.244599999998</v>
      </c>
    </row>
    <row r="16" spans="3:15" ht="11.25">
      <c r="C16" s="117" t="s">
        <v>28</v>
      </c>
      <c r="D16" s="117"/>
      <c r="E16" s="117"/>
      <c r="F16" s="117"/>
      <c r="G16" s="120">
        <v>7389.43784</v>
      </c>
      <c r="H16" s="121"/>
      <c r="I16" s="69">
        <v>16651.099789999997</v>
      </c>
      <c r="J16" s="121"/>
      <c r="K16" s="176">
        <v>0</v>
      </c>
      <c r="L16" s="121"/>
      <c r="M16" s="120">
        <v>0</v>
      </c>
      <c r="N16" s="121"/>
      <c r="O16" s="67">
        <f t="shared" si="0"/>
        <v>24040.537629999995</v>
      </c>
    </row>
    <row r="17" spans="4:15" ht="11.25">
      <c r="D17" s="38" t="s">
        <v>50</v>
      </c>
      <c r="E17" s="38"/>
      <c r="F17" s="38"/>
      <c r="G17" s="56">
        <f aca="true" t="shared" si="1" ref="G17:L17">SUM(G12:G16)</f>
        <v>-76689.88107377262</v>
      </c>
      <c r="H17" s="56">
        <f t="shared" si="1"/>
        <v>0</v>
      </c>
      <c r="I17" s="56">
        <f t="shared" si="1"/>
        <v>44866.05218514336</v>
      </c>
      <c r="J17" s="56">
        <f t="shared" si="1"/>
        <v>0</v>
      </c>
      <c r="K17" s="56">
        <f t="shared" si="1"/>
        <v>8621.754166666668</v>
      </c>
      <c r="L17" s="56">
        <f t="shared" si="1"/>
        <v>0</v>
      </c>
      <c r="M17" s="56">
        <f>SUM(M12:M16)</f>
        <v>-8806.113302063013</v>
      </c>
      <c r="N17" s="121"/>
      <c r="O17" s="56">
        <f t="shared" si="0"/>
        <v>-32008.188024025607</v>
      </c>
    </row>
    <row r="18" spans="7:15" ht="11.25">
      <c r="G18" s="122"/>
      <c r="H18" s="121"/>
      <c r="I18" s="122"/>
      <c r="J18" s="121"/>
      <c r="K18" s="176"/>
      <c r="L18" s="121"/>
      <c r="M18" s="122"/>
      <c r="N18" s="121"/>
      <c r="O18" s="122"/>
    </row>
    <row r="19" spans="2:17" ht="11.25">
      <c r="B19" s="116" t="s">
        <v>54</v>
      </c>
      <c r="G19" s="120">
        <v>21675.129882812507</v>
      </c>
      <c r="H19" s="121"/>
      <c r="I19" s="69">
        <v>51603.69726562499</v>
      </c>
      <c r="J19" s="121"/>
      <c r="K19" s="176">
        <v>0</v>
      </c>
      <c r="L19" s="121"/>
      <c r="M19" s="120">
        <v>0</v>
      </c>
      <c r="N19" s="121"/>
      <c r="O19" s="67">
        <f>SUM(G19:M19)</f>
        <v>73278.8271484375</v>
      </c>
      <c r="Q19" s="7"/>
    </row>
    <row r="20" spans="2:15" ht="11.25">
      <c r="B20" s="116" t="s">
        <v>55</v>
      </c>
      <c r="G20" s="120">
        <v>179662.54999999996</v>
      </c>
      <c r="H20" s="121"/>
      <c r="I20" s="69">
        <v>2574.6749999999984</v>
      </c>
      <c r="J20" s="121"/>
      <c r="K20" s="176">
        <v>0</v>
      </c>
      <c r="L20" s="121"/>
      <c r="M20" s="120">
        <v>0</v>
      </c>
      <c r="N20" s="121"/>
      <c r="O20" s="67">
        <f>SUM(G20:M20)</f>
        <v>182237.22499999995</v>
      </c>
    </row>
    <row r="21" spans="2:15" ht="11.25">
      <c r="B21" s="2" t="s">
        <v>43</v>
      </c>
      <c r="G21" s="120">
        <v>9215.69715</v>
      </c>
      <c r="H21" s="121"/>
      <c r="I21" s="69">
        <v>5554.18838</v>
      </c>
      <c r="J21" s="121"/>
      <c r="K21" s="176">
        <v>0</v>
      </c>
      <c r="L21" s="121"/>
      <c r="M21" s="120">
        <v>0</v>
      </c>
      <c r="N21" s="121"/>
      <c r="O21" s="67">
        <f>SUM(G21:M21)</f>
        <v>14769.88553</v>
      </c>
    </row>
    <row r="22" spans="2:15" ht="11.25">
      <c r="B22" s="2" t="s">
        <v>56</v>
      </c>
      <c r="G22" s="120">
        <v>1065.51363</v>
      </c>
      <c r="H22" s="121"/>
      <c r="I22" s="69">
        <v>3023.54739</v>
      </c>
      <c r="J22" s="121"/>
      <c r="K22" s="176">
        <v>350000</v>
      </c>
      <c r="L22" s="121"/>
      <c r="M22" s="120">
        <v>0</v>
      </c>
      <c r="N22" s="121"/>
      <c r="O22" s="67">
        <f>SUM(G22:M22)</f>
        <v>354089.06102</v>
      </c>
    </row>
    <row r="23" spans="3:15" ht="12" thickBot="1">
      <c r="C23" s="38" t="s">
        <v>51</v>
      </c>
      <c r="G23" s="45">
        <f>SUM(G17:G22)</f>
        <v>134929.00958903984</v>
      </c>
      <c r="H23" s="45">
        <f aca="true" t="shared" si="2" ref="H23:N23">SUM(H17:H22)</f>
        <v>0</v>
      </c>
      <c r="I23" s="45">
        <f t="shared" si="2"/>
        <v>107622.16022076835</v>
      </c>
      <c r="J23" s="45">
        <f t="shared" si="2"/>
        <v>0</v>
      </c>
      <c r="K23" s="45">
        <f t="shared" si="2"/>
        <v>358621.75416666665</v>
      </c>
      <c r="L23" s="45">
        <f t="shared" si="2"/>
        <v>0</v>
      </c>
      <c r="M23" s="45">
        <f t="shared" si="2"/>
        <v>-8806.113302063013</v>
      </c>
      <c r="N23" s="45">
        <f t="shared" si="2"/>
        <v>0</v>
      </c>
      <c r="O23" s="45">
        <f>SUM(O17:O22)</f>
        <v>592366.8106744118</v>
      </c>
    </row>
    <row r="24" spans="7:15" ht="12" thickTop="1">
      <c r="G24" s="120"/>
      <c r="H24" s="121"/>
      <c r="I24" s="120"/>
      <c r="J24" s="121"/>
      <c r="K24" s="176"/>
      <c r="L24" s="121"/>
      <c r="M24" s="120"/>
      <c r="N24" s="121"/>
      <c r="O24" s="120"/>
    </row>
    <row r="25" spans="2:15" ht="11.25">
      <c r="B25" s="5" t="s">
        <v>60</v>
      </c>
      <c r="D25" s="5"/>
      <c r="E25" s="5"/>
      <c r="F25" s="5"/>
      <c r="G25" s="120"/>
      <c r="H25" s="121"/>
      <c r="I25" s="120"/>
      <c r="J25" s="121"/>
      <c r="K25" s="176"/>
      <c r="L25" s="121"/>
      <c r="M25" s="120"/>
      <c r="N25" s="121"/>
      <c r="O25" s="120"/>
    </row>
    <row r="26" spans="3:15" ht="11.25">
      <c r="C26" s="117" t="s">
        <v>44</v>
      </c>
      <c r="D26" s="37"/>
      <c r="E26" s="37"/>
      <c r="F26" s="37"/>
      <c r="G26" s="123">
        <v>906.8548199999999</v>
      </c>
      <c r="H26" s="123"/>
      <c r="I26" s="69">
        <v>8440.27382</v>
      </c>
      <c r="J26" s="123"/>
      <c r="K26" s="176">
        <v>0</v>
      </c>
      <c r="L26" s="123"/>
      <c r="M26" s="123">
        <v>0</v>
      </c>
      <c r="N26" s="123"/>
      <c r="O26" s="124">
        <f aca="true" t="shared" si="3" ref="O26:O33">SUM(G26:M26)</f>
        <v>9347.12864</v>
      </c>
    </row>
    <row r="27" spans="3:15" ht="11.25">
      <c r="C27" s="117" t="s">
        <v>2</v>
      </c>
      <c r="D27" s="37"/>
      <c r="E27" s="37"/>
      <c r="F27" s="37"/>
      <c r="G27" s="120">
        <v>5244.3030864465745</v>
      </c>
      <c r="H27" s="121"/>
      <c r="I27" s="69">
        <v>3561.6438356164385</v>
      </c>
      <c r="J27" s="121"/>
      <c r="K27" s="176">
        <v>0</v>
      </c>
      <c r="L27" s="121"/>
      <c r="M27" s="120">
        <v>-8805.946922063013</v>
      </c>
      <c r="N27" s="121"/>
      <c r="O27" s="67">
        <f t="shared" si="3"/>
        <v>0</v>
      </c>
    </row>
    <row r="28" spans="3:15" ht="11.25">
      <c r="C28" s="117" t="s">
        <v>57</v>
      </c>
      <c r="D28" s="37"/>
      <c r="E28" s="37"/>
      <c r="F28" s="37"/>
      <c r="G28" s="120">
        <v>5178.082260821916</v>
      </c>
      <c r="H28" s="121"/>
      <c r="I28" s="69">
        <v>3207.48438</v>
      </c>
      <c r="J28" s="121"/>
      <c r="K28" s="176">
        <v>0</v>
      </c>
      <c r="L28" s="121"/>
      <c r="M28" s="120">
        <v>0</v>
      </c>
      <c r="N28" s="121"/>
      <c r="O28" s="67">
        <f t="shared" si="3"/>
        <v>8385.566640821915</v>
      </c>
    </row>
    <row r="29" spans="3:15" ht="11.25">
      <c r="C29" s="117" t="s">
        <v>3</v>
      </c>
      <c r="D29" s="37"/>
      <c r="E29" s="37"/>
      <c r="F29" s="37"/>
      <c r="G29" s="120">
        <v>692.0846700000001</v>
      </c>
      <c r="H29" s="121"/>
      <c r="I29" s="69">
        <v>5474.75291</v>
      </c>
      <c r="J29" s="121"/>
      <c r="K29" s="176">
        <v>0</v>
      </c>
      <c r="L29" s="121"/>
      <c r="M29" s="120">
        <v>0</v>
      </c>
      <c r="N29" s="121"/>
      <c r="O29" s="67">
        <f t="shared" si="3"/>
        <v>6166.83758</v>
      </c>
    </row>
    <row r="30" spans="3:15" ht="11.25">
      <c r="C30" s="117" t="s">
        <v>58</v>
      </c>
      <c r="D30" s="37"/>
      <c r="E30" s="37"/>
      <c r="F30" s="37"/>
      <c r="G30" s="120">
        <v>6247.379980000001</v>
      </c>
      <c r="H30" s="121"/>
      <c r="I30" s="69">
        <v>4152.90534</v>
      </c>
      <c r="J30" s="121"/>
      <c r="K30" s="176">
        <v>0</v>
      </c>
      <c r="L30" s="121"/>
      <c r="M30" s="120">
        <v>0</v>
      </c>
      <c r="N30" s="121"/>
      <c r="O30" s="67">
        <f t="shared" si="3"/>
        <v>10400.28532</v>
      </c>
    </row>
    <row r="31" spans="3:15" ht="11.25">
      <c r="C31" s="117" t="s">
        <v>95</v>
      </c>
      <c r="D31" s="37"/>
      <c r="E31" s="37"/>
      <c r="F31" s="37"/>
      <c r="G31" s="120">
        <v>0</v>
      </c>
      <c r="H31" s="121"/>
      <c r="I31" s="153">
        <v>0</v>
      </c>
      <c r="J31" s="121"/>
      <c r="K31" s="176">
        <f>'MLC Revolver'!AQ5+'MLC Revolver'!AQ6</f>
        <v>55000</v>
      </c>
      <c r="L31" s="121"/>
      <c r="M31" s="120">
        <v>0</v>
      </c>
      <c r="N31" s="121"/>
      <c r="O31" s="67">
        <f t="shared" si="3"/>
        <v>55000</v>
      </c>
    </row>
    <row r="32" spans="3:15" ht="11.25">
      <c r="C32" s="117" t="s">
        <v>80</v>
      </c>
      <c r="D32" s="37"/>
      <c r="E32" s="37"/>
      <c r="F32" s="37"/>
      <c r="G32" s="120">
        <v>16666.666</v>
      </c>
      <c r="H32" s="121"/>
      <c r="I32" s="69">
        <v>8000</v>
      </c>
      <c r="J32" s="121"/>
      <c r="K32" s="176">
        <v>4000</v>
      </c>
      <c r="L32" s="121"/>
      <c r="M32" s="120">
        <v>0</v>
      </c>
      <c r="N32" s="121"/>
      <c r="O32" s="67">
        <f t="shared" si="3"/>
        <v>28666.666</v>
      </c>
    </row>
    <row r="33" spans="4:18" ht="12">
      <c r="D33" s="38" t="s">
        <v>61</v>
      </c>
      <c r="E33" s="51"/>
      <c r="F33" s="51"/>
      <c r="G33" s="177">
        <f aca="true" t="shared" si="4" ref="G33:M33">SUM(G26:G32)</f>
        <v>34935.37081726849</v>
      </c>
      <c r="H33" s="177">
        <f t="shared" si="4"/>
        <v>0</v>
      </c>
      <c r="I33" s="177">
        <f t="shared" si="4"/>
        <v>32837.06028561644</v>
      </c>
      <c r="J33" s="177">
        <f t="shared" si="4"/>
        <v>0</v>
      </c>
      <c r="K33" s="177">
        <f t="shared" si="4"/>
        <v>59000</v>
      </c>
      <c r="L33" s="177">
        <f t="shared" si="4"/>
        <v>0</v>
      </c>
      <c r="M33" s="177">
        <f t="shared" si="4"/>
        <v>-8805.946922063013</v>
      </c>
      <c r="N33" s="61"/>
      <c r="O33" s="56">
        <f t="shared" si="3"/>
        <v>117966.48418082192</v>
      </c>
      <c r="Q33" s="202"/>
      <c r="R33" s="202"/>
    </row>
    <row r="34" spans="7:15" ht="11.25">
      <c r="G34" s="120"/>
      <c r="H34" s="121"/>
      <c r="I34" s="120"/>
      <c r="J34" s="121"/>
      <c r="K34" s="176"/>
      <c r="L34" s="121"/>
      <c r="M34" s="120"/>
      <c r="N34" s="121"/>
      <c r="O34" s="120"/>
    </row>
    <row r="35" spans="2:15" ht="11.25">
      <c r="B35" s="2" t="s">
        <v>4</v>
      </c>
      <c r="G35" s="120">
        <v>350000.00599999976</v>
      </c>
      <c r="H35" s="121"/>
      <c r="I35" s="69">
        <v>32000</v>
      </c>
      <c r="J35" s="121"/>
      <c r="K35" s="176">
        <v>16000</v>
      </c>
      <c r="L35" s="121"/>
      <c r="M35" s="120">
        <v>0</v>
      </c>
      <c r="N35" s="121"/>
      <c r="O35" s="67">
        <f>SUM(G35:M35)</f>
        <v>398000.00599999976</v>
      </c>
    </row>
    <row r="36" spans="2:15" ht="11.25">
      <c r="B36" s="2" t="s">
        <v>5</v>
      </c>
      <c r="G36" s="120">
        <v>133.461</v>
      </c>
      <c r="H36" s="121"/>
      <c r="I36" s="69">
        <v>18237.24444</v>
      </c>
      <c r="J36" s="121"/>
      <c r="K36" s="176">
        <v>0</v>
      </c>
      <c r="L36" s="121"/>
      <c r="M36" s="120">
        <v>0</v>
      </c>
      <c r="N36" s="121"/>
      <c r="O36" s="67">
        <f>SUM(G36:M36)</f>
        <v>18370.705439999998</v>
      </c>
    </row>
    <row r="37" spans="2:15" ht="11.25">
      <c r="B37" s="2" t="s">
        <v>6</v>
      </c>
      <c r="G37" s="120">
        <v>0</v>
      </c>
      <c r="H37" s="121"/>
      <c r="I37" s="69">
        <v>2987.28766</v>
      </c>
      <c r="J37" s="121"/>
      <c r="K37" s="176">
        <v>0</v>
      </c>
      <c r="L37" s="121"/>
      <c r="M37" s="120">
        <v>0</v>
      </c>
      <c r="N37" s="121"/>
      <c r="O37" s="67">
        <f>SUM(G37:M37)</f>
        <v>2987.28766</v>
      </c>
    </row>
    <row r="38" spans="5:17" ht="11.25">
      <c r="E38" s="38" t="s">
        <v>49</v>
      </c>
      <c r="F38" s="38"/>
      <c r="G38" s="178">
        <f aca="true" t="shared" si="5" ref="G38:M38">SUM(G33:G37)</f>
        <v>385068.8378172683</v>
      </c>
      <c r="H38" s="178">
        <f t="shared" si="5"/>
        <v>0</v>
      </c>
      <c r="I38" s="178">
        <f t="shared" si="5"/>
        <v>86061.59238561644</v>
      </c>
      <c r="J38" s="178">
        <f t="shared" si="5"/>
        <v>0</v>
      </c>
      <c r="K38" s="178">
        <f t="shared" si="5"/>
        <v>75000</v>
      </c>
      <c r="L38" s="178">
        <f t="shared" si="5"/>
        <v>0</v>
      </c>
      <c r="M38" s="178">
        <f t="shared" si="5"/>
        <v>-8805.946922063013</v>
      </c>
      <c r="N38" s="5"/>
      <c r="O38" s="50">
        <f>SUM(O33:O37)</f>
        <v>537324.4832808217</v>
      </c>
      <c r="Q38" s="7"/>
    </row>
    <row r="39" spans="3:15" ht="11.25">
      <c r="C39" s="125"/>
      <c r="D39" s="125"/>
      <c r="E39" s="125"/>
      <c r="F39" s="125"/>
      <c r="G39" s="9"/>
      <c r="I39" s="9"/>
      <c r="M39" s="9"/>
      <c r="O39" s="9"/>
    </row>
    <row r="40" spans="2:15" ht="11.25">
      <c r="B40" s="5" t="s">
        <v>62</v>
      </c>
      <c r="D40" s="5"/>
      <c r="E40" s="5"/>
      <c r="F40" s="5"/>
      <c r="G40" s="7"/>
      <c r="I40" s="7"/>
      <c r="M40" s="7"/>
      <c r="O40" s="7"/>
    </row>
    <row r="41" spans="3:15" ht="11.25">
      <c r="C41" s="2" t="s">
        <v>7</v>
      </c>
      <c r="G41" s="7">
        <v>0</v>
      </c>
      <c r="I41" s="69">
        <v>7.501</v>
      </c>
      <c r="K41" s="67">
        <v>0</v>
      </c>
      <c r="M41" s="7">
        <v>-8.5</v>
      </c>
      <c r="O41" s="67">
        <f>SUM(G41:M41)</f>
        <v>-0.9989999999999997</v>
      </c>
    </row>
    <row r="42" spans="3:15" ht="11.25">
      <c r="C42" s="2" t="s">
        <v>46</v>
      </c>
      <c r="G42" s="7">
        <v>179838.18584</v>
      </c>
      <c r="I42" s="69">
        <v>222292.427</v>
      </c>
      <c r="K42" s="67">
        <v>308000</v>
      </c>
      <c r="M42" s="7">
        <v>-251285.86894</v>
      </c>
      <c r="O42" s="67">
        <f>SUM(G42:M42)</f>
        <v>458844.7439</v>
      </c>
    </row>
    <row r="43" spans="3:15" ht="11.25">
      <c r="C43" s="2" t="s">
        <v>8</v>
      </c>
      <c r="G43" s="7">
        <f>SUM('BS - 12-31-18'!G43:G44)</f>
        <v>-418666.1883734793</v>
      </c>
      <c r="H43" s="7">
        <f>SUM('BS - 12-31-18'!H43:H44)</f>
        <v>0</v>
      </c>
      <c r="I43" s="7">
        <f>SUM('BS - 12-31-18'!I43:I44)</f>
        <v>-196536.86464556577</v>
      </c>
      <c r="J43" s="7">
        <f>SUM('BS - 12-31-18'!J43:J44)</f>
        <v>0</v>
      </c>
      <c r="K43" s="7">
        <f>SUM('BS - 12-31-18'!K43:K44)</f>
        <v>-20095.92916666667</v>
      </c>
      <c r="L43" s="7">
        <f>SUM('BS - 12-31-18'!L43:L44)</f>
        <v>0</v>
      </c>
      <c r="M43" s="7">
        <f>SUM('BS - 12-31-18'!M43:M44)</f>
        <v>251294.20255999998</v>
      </c>
      <c r="N43" s="7">
        <f>SUM('BS - 12-31-18'!N43:N44)</f>
        <v>0</v>
      </c>
      <c r="O43" s="7">
        <f>SUM('BS - 12-31-18'!O43:O44)</f>
        <v>-384004.77962571173</v>
      </c>
    </row>
    <row r="44" spans="3:15" ht="11.25">
      <c r="C44" s="2" t="s">
        <v>47</v>
      </c>
      <c r="G44" s="7">
        <f>'IS - 9-30-19'!E35</f>
        <v>-11311.819277561633</v>
      </c>
      <c r="H44" s="7">
        <f>'IS - 9-30-19'!F35</f>
        <v>0</v>
      </c>
      <c r="I44" s="7">
        <f>'IS - 9-30-19'!G35</f>
        <v>-4202.500284907264</v>
      </c>
      <c r="J44" s="7">
        <f>'IS - 9-30-19'!H35</f>
        <v>0</v>
      </c>
      <c r="K44" s="7">
        <f>'IS - 9-30-19'!I35</f>
        <v>-4282.316666666667</v>
      </c>
      <c r="L44" s="7">
        <f>'IS - 9-30-19'!J35</f>
        <v>0</v>
      </c>
      <c r="M44" s="7">
        <f>'IS - 9-30-19'!K35</f>
        <v>0</v>
      </c>
      <c r="N44" s="7">
        <f>'IS - 9-30-19'!L35</f>
        <v>0</v>
      </c>
      <c r="O44" s="7">
        <f>'IS - 9-30-19'!M35</f>
        <v>-19796.636229135565</v>
      </c>
    </row>
    <row r="45" spans="5:15" ht="11.25">
      <c r="E45" s="38" t="s">
        <v>48</v>
      </c>
      <c r="F45" s="38"/>
      <c r="G45" s="50">
        <f aca="true" t="shared" si="6" ref="G45:L45">SUM(G41:G44)</f>
        <v>-250139.82181104092</v>
      </c>
      <c r="H45" s="50">
        <f t="shared" si="6"/>
        <v>0</v>
      </c>
      <c r="I45" s="50">
        <f t="shared" si="6"/>
        <v>21560.56306952695</v>
      </c>
      <c r="J45" s="50">
        <f t="shared" si="6"/>
        <v>0</v>
      </c>
      <c r="K45" s="50">
        <f t="shared" si="6"/>
        <v>283621.75416666665</v>
      </c>
      <c r="L45" s="50">
        <f t="shared" si="6"/>
        <v>0</v>
      </c>
      <c r="M45" s="50">
        <f>SUM(M41:M44)</f>
        <v>-0.16638000000966713</v>
      </c>
      <c r="N45" s="5"/>
      <c r="O45" s="50">
        <f>SUM(O41:O44)</f>
        <v>55042.3290451527</v>
      </c>
    </row>
    <row r="46" spans="3:15" ht="11.25">
      <c r="C46" s="125"/>
      <c r="D46" s="125"/>
      <c r="E46" s="125"/>
      <c r="F46" s="125"/>
      <c r="G46" s="9"/>
      <c r="I46" s="9"/>
      <c r="K46" s="127"/>
      <c r="M46" s="9"/>
      <c r="O46" s="9"/>
    </row>
    <row r="47" spans="3:16" ht="12" thickBot="1">
      <c r="C47" s="38" t="s">
        <v>45</v>
      </c>
      <c r="D47" s="126"/>
      <c r="E47" s="126"/>
      <c r="F47" s="126"/>
      <c r="G47" s="52">
        <f>G38+G45</f>
        <v>134929.01600622735</v>
      </c>
      <c r="H47" s="52">
        <f aca="true" t="shared" si="7" ref="H47:N47">H38+H45</f>
        <v>0</v>
      </c>
      <c r="I47" s="52">
        <f t="shared" si="7"/>
        <v>107622.1554551434</v>
      </c>
      <c r="J47" s="52">
        <f t="shared" si="7"/>
        <v>0</v>
      </c>
      <c r="K47" s="52">
        <f t="shared" si="7"/>
        <v>358621.75416666665</v>
      </c>
      <c r="L47" s="52">
        <f t="shared" si="7"/>
        <v>0</v>
      </c>
      <c r="M47" s="52">
        <f t="shared" si="7"/>
        <v>-8806.113302063022</v>
      </c>
      <c r="N47" s="52">
        <f t="shared" si="7"/>
        <v>0</v>
      </c>
      <c r="O47" s="52">
        <f>O38+O45</f>
        <v>592366.8123259745</v>
      </c>
      <c r="P47" s="3"/>
    </row>
    <row r="48" spans="4:16" ht="12" thickTop="1">
      <c r="D48" s="125"/>
      <c r="E48" s="125"/>
      <c r="F48" s="125"/>
      <c r="G48" s="127">
        <v>0</v>
      </c>
      <c r="H48" s="127"/>
      <c r="I48" s="127">
        <v>0</v>
      </c>
      <c r="J48" s="127"/>
      <c r="K48" s="127">
        <v>0</v>
      </c>
      <c r="L48" s="127"/>
      <c r="M48" s="127">
        <v>0</v>
      </c>
      <c r="N48" s="127"/>
      <c r="O48" s="127">
        <v>0</v>
      </c>
      <c r="P48" s="3"/>
    </row>
    <row r="49" spans="3:16" ht="11.25">
      <c r="C49" s="128"/>
      <c r="D49" s="128"/>
      <c r="E49" s="128"/>
      <c r="F49" s="128"/>
      <c r="G49" s="46"/>
      <c r="H49" s="3"/>
      <c r="I49" s="46"/>
      <c r="J49" s="3"/>
      <c r="K49" s="127"/>
      <c r="L49" s="3"/>
      <c r="M49" s="46"/>
      <c r="N49" s="3"/>
      <c r="O49" s="46"/>
      <c r="P49" s="3"/>
    </row>
    <row r="50" spans="7:16" ht="11.25">
      <c r="G50" s="204"/>
      <c r="H50" s="204"/>
      <c r="I50" s="204"/>
      <c r="J50" s="204"/>
      <c r="K50" s="204"/>
      <c r="L50" s="204"/>
      <c r="M50" s="204"/>
      <c r="N50" s="204"/>
      <c r="O50" s="204"/>
      <c r="P50" s="3"/>
    </row>
    <row r="51" spans="7:17" ht="11.25">
      <c r="G51" s="3"/>
      <c r="H51" s="3"/>
      <c r="I51" s="3"/>
      <c r="J51" s="3"/>
      <c r="K51" s="127"/>
      <c r="L51" s="3"/>
      <c r="M51" s="3"/>
      <c r="N51" s="3"/>
      <c r="O51" s="3"/>
      <c r="P51" s="3"/>
      <c r="Q51" s="13"/>
    </row>
  </sheetData>
  <sheetProtection/>
  <mergeCells count="5">
    <mergeCell ref="A1:P1"/>
    <mergeCell ref="A2:P2"/>
    <mergeCell ref="A3:P3"/>
    <mergeCell ref="A4:P4"/>
    <mergeCell ref="A5:P5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Gaston</dc:creator>
  <cp:keywords/>
  <dc:description/>
  <cp:lastModifiedBy>Alston &amp; Bird</cp:lastModifiedBy>
  <cp:lastPrinted>2010-10-27T20:30:32Z</cp:lastPrinted>
  <dcterms:created xsi:type="dcterms:W3CDTF">2003-02-17T04:14:36Z</dcterms:created>
  <dcterms:modified xsi:type="dcterms:W3CDTF">2019-11-08T05:24:03Z</dcterms:modified>
  <cp:category/>
  <cp:version/>
  <cp:contentType/>
  <cp:contentStatus/>
</cp:coreProperties>
</file>